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home\private\athome\website\analysis_excel\"/>
    </mc:Choice>
  </mc:AlternateContent>
  <xr:revisionPtr revIDLastSave="0" documentId="13_ncr:1_{EFAB03EA-714B-40FC-85B4-2CD8034DC639}" xr6:coauthVersionLast="41" xr6:coauthVersionMax="41" xr10:uidLastSave="{00000000-0000-0000-0000-000000000000}"/>
  <bookViews>
    <workbookView xWindow="1560" yWindow="1560" windowWidth="25755" windowHeight="14370" tabRatio="778" activeTab="1" xr2:uid="{00000000-000D-0000-FFFF-FFFF00000000}"/>
  </bookViews>
  <sheets>
    <sheet name="Instructions" sheetId="13" r:id="rId1"/>
    <sheet name="Retirement_Inputs" sheetId="9" r:id="rId2"/>
    <sheet name="Staggered Goals(All) Planner" sheetId="10" r:id="rId3"/>
    <sheet name="Subjective Stress Reducer" sheetId="12" r:id="rId4"/>
    <sheet name="0+10 Buckets income ladder" sheetId="7" r:id="rId5"/>
    <sheet name="YearlyCashFlow" sheetId="11" r:id="rId6"/>
  </sheets>
  <externalReferences>
    <externalReference r:id="rId7"/>
  </externalReferences>
  <definedNames>
    <definedName name="_xlnm._FilterDatabase" localSheetId="1" hidden="1">Retirement_Inputs!$A$1:$D$1</definedName>
    <definedName name="_pen1">#REF!</definedName>
    <definedName name="addexp">#REF!</definedName>
    <definedName name="age">#REF!</definedName>
    <definedName name="ainc">#REF!</definedName>
    <definedName name="ay">#REF!</definedName>
    <definedName name="b1r">'0+10 Buckets income ladder'!$R$7</definedName>
    <definedName name="b2r">'0+10 Buckets income ladder'!$W$7</definedName>
    <definedName name="b3r">'0+10 Buckets income ladder'!$AB$7</definedName>
    <definedName name="b4r">'0+10 Buckets income ladder'!$AG$7</definedName>
    <definedName name="b5r">'0+10 Buckets income ladder'!$AL$7</definedName>
    <definedName name="b6r">'0+10 Buckets income ladder'!$AQ$7</definedName>
    <definedName name="binc">#REF!</definedName>
    <definedName name="by">#REF!</definedName>
    <definedName name="cage">#REF!</definedName>
    <definedName name="Choice" localSheetId="4">'0+10 Buckets income ladder'!#REF!</definedName>
    <definedName name="Choice">#REF!</definedName>
    <definedName name="cinc">#REF!</definedName>
    <definedName name="corpacc">#REF!</definedName>
    <definedName name="corpself">#REF!</definedName>
    <definedName name="corptax">#REF!</definedName>
    <definedName name="corpust">#REF!</definedName>
    <definedName name="Corpustax">#REF!</definedName>
    <definedName name="corpusttax">#REF!</definedName>
    <definedName name="currinv">#REF!</definedName>
    <definedName name="curroi">#REF!</definedName>
    <definedName name="cy">#REF!</definedName>
    <definedName name="debint">#REF!</definedName>
    <definedName name="eqint">#REF!</definedName>
    <definedName name="EXCESS">#REF!</definedName>
    <definedName name="expenses">#REF!</definedName>
    <definedName name="expt">#REF!</definedName>
    <definedName name="FV">#REF!</definedName>
    <definedName name="fvcorpus">#REF!</definedName>
    <definedName name="ga">#REF!</definedName>
    <definedName name="gami">#REF!</definedName>
    <definedName name="gamip">#REF!</definedName>
    <definedName name="gb">#REF!</definedName>
    <definedName name="gbmi">#REF!</definedName>
    <definedName name="gbmip">#REF!</definedName>
    <definedName name="gc">#REF!</definedName>
    <definedName name="gcmi">#REF!</definedName>
    <definedName name="gcmip">#REF!</definedName>
    <definedName name="gd">#REF!</definedName>
    <definedName name="gdd">'Staggered Goals(All) Planner'!#REF!</definedName>
    <definedName name="gdg">'Staggered Goals(All) Planner'!$B$17</definedName>
    <definedName name="gdt">#REF!</definedName>
    <definedName name="infpre">#REF!</definedName>
    <definedName name="inft">#REF!</definedName>
    <definedName name="int" localSheetId="4">'0+10 Buckets income ladder'!$M$4</definedName>
    <definedName name="int">#REF!</definedName>
    <definedName name="int10b">'0+10 Buckets income ladder'!$BF$4</definedName>
    <definedName name="int11b">'0+10 Buckets income ladder'!$BK$4</definedName>
    <definedName name="int2b">'0+10 Buckets income ladder'!$R$4</definedName>
    <definedName name="int3b">'0+10 Buckets income ladder'!$W$4</definedName>
    <definedName name="int4b">'0+10 Buckets income ladder'!$AB$4</definedName>
    <definedName name="int5b">'0+10 Buckets income ladder'!$AG$4</definedName>
    <definedName name="int6b">'0+10 Buckets income ladder'!$AL$4</definedName>
    <definedName name="int7b">'0+10 Buckets income ladder'!$AQ$4</definedName>
    <definedName name="int8b">'0+10 Buckets income ladder'!$AV$4</definedName>
    <definedName name="int9b">'0+10 Buckets income ladder'!$BA$4</definedName>
    <definedName name="inv">#REF!</definedName>
    <definedName name="invt">#REF!</definedName>
    <definedName name="k" localSheetId="4">'0+10 Buckets income ladder'!$M$3</definedName>
    <definedName name="k">#REF!</definedName>
    <definedName name="k10b">'0+10 Buckets income ladder'!$BF$3</definedName>
    <definedName name="k11b">'0+10 Buckets income ladder'!$BK$3</definedName>
    <definedName name="k2b">'0+10 Buckets income ladder'!$R$3</definedName>
    <definedName name="k3b">'0+10 Buckets income ladder'!$W$3</definedName>
    <definedName name="k4b">'0+10 Buckets income ladder'!$AB$3</definedName>
    <definedName name="k5b">'0+10 Buckets income ladder'!$AG$3</definedName>
    <definedName name="k6b">'0+10 Buckets income ladder'!$AL$3</definedName>
    <definedName name="k7b">'0+10 Buckets income ladder'!$AQ$3</definedName>
    <definedName name="k8b">'0+10 Buckets income ladder'!$AV$3</definedName>
    <definedName name="k9b">'0+10 Buckets income ladder'!$BA$3</definedName>
    <definedName name="kt">#REF!</definedName>
    <definedName name="loss">#REF!</definedName>
    <definedName name="name_validation" localSheetId="0">OFFSET([1]Inputs!V1048576,,,COUNTIF([1]Inputs!$Z$2:$Z$6000,"?*"),)</definedName>
    <definedName name="netcorpus">#REF!</definedName>
    <definedName name="newc">#REF!</definedName>
    <definedName name="nga">#REF!</definedName>
    <definedName name="ngb">#REF!</definedName>
    <definedName name="ngc">#REF!</definedName>
    <definedName name="offset">YearlyCashFlow!$M$92</definedName>
    <definedName name="oint">#REF!</definedName>
    <definedName name="option">#REF!</definedName>
    <definedName name="pa">#REF!</definedName>
    <definedName name="paa">#REF!</definedName>
    <definedName name="pb">#REF!</definedName>
    <definedName name="pbb">#REF!</definedName>
    <definedName name="pc">#REF!</definedName>
    <definedName name="pcc">#REF!</definedName>
    <definedName name="pension">#REF!</definedName>
    <definedName name="pent">#REF!</definedName>
    <definedName name="preinf">#REF!</definedName>
    <definedName name="pret">#REF!</definedName>
    <definedName name="retiint">#REF!</definedName>
    <definedName name="rinf" localSheetId="4">'0+10 Buckets income ladder'!$B$10</definedName>
    <definedName name="rinf">#REF!</definedName>
    <definedName name="roia">#REF!</definedName>
    <definedName name="safedebt">#REF!</definedName>
    <definedName name="salary">#REF!</definedName>
    <definedName name="sdsdsd">#REF!</definedName>
    <definedName name="source1">'Staggered Goals(All) Planner'!$B$74</definedName>
    <definedName name="source2">'Staggered Goals(All) Planner'!$C$74</definedName>
    <definedName name="source3">'Staggered Goals(All) Planner'!$D$74</definedName>
    <definedName name="source4">'Staggered Goals(All) Planner'!$E$74</definedName>
    <definedName name="sr_end1">'Staggered Goals(All) Planner'!$B$79</definedName>
    <definedName name="sr_end2">'Staggered Goals(All) Planner'!$C$79</definedName>
    <definedName name="sr_end3">'Staggered Goals(All) Planner'!$D$79</definedName>
    <definedName name="sr_end4">'Staggered Goals(All) Planner'!$E$79</definedName>
    <definedName name="sr_rate1">'Staggered Goals(All) Planner'!$B$73</definedName>
    <definedName name="sr_rate2">'Staggered Goals(All) Planner'!$C$73</definedName>
    <definedName name="sr_rate3">'Staggered Goals(All) Planner'!$D$73</definedName>
    <definedName name="sr_rate4">'Staggered Goals(All) Planner'!$E$73</definedName>
    <definedName name="sr_st1">'Staggered Goals(All) Planner'!$B$78</definedName>
    <definedName name="sr_st2">'Staggered Goals(All) Planner'!$C$78</definedName>
    <definedName name="sr_st3">'Staggered Goals(All) Planner'!$D$78</definedName>
    <definedName name="sr_st4">'Staggered Goals(All) Planner'!$E$78</definedName>
    <definedName name="t">#REF!</definedName>
    <definedName name="tax">#REF!</definedName>
    <definedName name="taxt">#REF!</definedName>
    <definedName name="time">'0+10 Buckets income ladder'!$B$11</definedName>
    <definedName name="valuevx">42.314159</definedName>
    <definedName name="wy">#REF!</definedName>
    <definedName name="ycf">#REF!</definedName>
    <definedName name="yr_to_ret">Retirement_Inputs!$B$11</definedName>
  </definedNames>
  <calcPr calcId="181029"/>
</workbook>
</file>

<file path=xl/calcChain.xml><?xml version="1.0" encoding="utf-8"?>
<calcChain xmlns="http://schemas.openxmlformats.org/spreadsheetml/2006/main">
  <c r="C79" i="10" l="1"/>
  <c r="E78" i="10"/>
  <c r="D78" i="10"/>
  <c r="Y104" i="11" s="1"/>
  <c r="Z6" i="11"/>
  <c r="Y6" i="11"/>
  <c r="X6" i="11"/>
  <c r="W6" i="11"/>
  <c r="Y99" i="11" l="1"/>
  <c r="Y100" i="11"/>
  <c r="Y101" i="11"/>
  <c r="Y91" i="11"/>
  <c r="Y105" i="11"/>
  <c r="Y107" i="11"/>
  <c r="Y97" i="11"/>
  <c r="Y108" i="11"/>
  <c r="Y92" i="11"/>
  <c r="Y106" i="11"/>
  <c r="Y93" i="11"/>
  <c r="Y98" i="11"/>
  <c r="Y109" i="11"/>
  <c r="Y94" i="11"/>
  <c r="Y102" i="11"/>
  <c r="Y95" i="11"/>
  <c r="Y103" i="11"/>
  <c r="Y96" i="11"/>
  <c r="G8" i="12"/>
  <c r="C8" i="12" s="1"/>
  <c r="B6" i="9" l="1"/>
  <c r="D49" i="10" l="1"/>
  <c r="C1" i="11"/>
  <c r="A6" i="12"/>
  <c r="G16" i="12"/>
  <c r="C16" i="12" s="1"/>
  <c r="A16" i="12"/>
  <c r="G15" i="12"/>
  <c r="C15" i="12" s="1"/>
  <c r="A15" i="12"/>
  <c r="G14" i="12"/>
  <c r="C14" i="12" s="1"/>
  <c r="A14" i="12"/>
  <c r="G13" i="12"/>
  <c r="C13" i="12" s="1"/>
  <c r="A13" i="12"/>
  <c r="G12" i="12"/>
  <c r="C12" i="12" s="1"/>
  <c r="A12" i="12"/>
  <c r="G11" i="12"/>
  <c r="C11" i="12" s="1"/>
  <c r="A11" i="12"/>
  <c r="G10" i="12"/>
  <c r="C10" i="12" s="1"/>
  <c r="A10" i="12"/>
  <c r="G9" i="12"/>
  <c r="C9" i="12" s="1"/>
  <c r="A9" i="12"/>
  <c r="A8" i="12"/>
  <c r="G7" i="12"/>
  <c r="C7" i="12" s="1"/>
  <c r="A7" i="12"/>
  <c r="G6" i="12"/>
  <c r="AV4" i="7" l="1"/>
  <c r="BK7" i="7" l="1"/>
  <c r="BF7" i="7"/>
  <c r="BK4" i="7"/>
  <c r="BF4" i="7"/>
  <c r="C27" i="7"/>
  <c r="S67" i="10"/>
  <c r="R67" i="10"/>
  <c r="Q67" i="10"/>
  <c r="P67" i="10"/>
  <c r="O67" i="10"/>
  <c r="N67" i="10"/>
  <c r="M67" i="10"/>
  <c r="L67" i="10"/>
  <c r="N64" i="10"/>
  <c r="Q64" i="10" s="1"/>
  <c r="L64" i="10"/>
  <c r="O64" i="10" s="1"/>
  <c r="R64" i="10" s="1"/>
  <c r="S62" i="10"/>
  <c r="R62" i="10"/>
  <c r="Q62" i="10"/>
  <c r="P62" i="10"/>
  <c r="O62" i="10"/>
  <c r="N62" i="10"/>
  <c r="M62" i="10"/>
  <c r="L62" i="10"/>
  <c r="S51" i="10"/>
  <c r="S58" i="10" s="1"/>
  <c r="R51" i="10"/>
  <c r="R58" i="10" s="1"/>
  <c r="Q51" i="10"/>
  <c r="Q58" i="10" s="1"/>
  <c r="P51" i="10"/>
  <c r="P58" i="10" s="1"/>
  <c r="O51" i="10"/>
  <c r="O54" i="10" s="1"/>
  <c r="O61" i="10" s="1"/>
  <c r="N51" i="10"/>
  <c r="N58" i="10" s="1"/>
  <c r="M51" i="10"/>
  <c r="M58" i="10" s="1"/>
  <c r="L51" i="10"/>
  <c r="L58" i="10" s="1"/>
  <c r="O58" i="10" l="1"/>
  <c r="O63" i="10" s="1"/>
  <c r="O65" i="10" s="1"/>
  <c r="N54" i="10"/>
  <c r="N61" i="10" s="1"/>
  <c r="N63" i="10" s="1"/>
  <c r="N65" i="10" s="1"/>
  <c r="R54" i="10"/>
  <c r="R61" i="10" s="1"/>
  <c r="R63" i="10" s="1"/>
  <c r="R65" i="10" s="1"/>
  <c r="S54" i="10"/>
  <c r="S61" i="10" s="1"/>
  <c r="S63" i="10" s="1"/>
  <c r="L54" i="10"/>
  <c r="L61" i="10" s="1"/>
  <c r="L63" i="10" s="1"/>
  <c r="L65" i="10" s="1"/>
  <c r="P54" i="10"/>
  <c r="P61" i="10" s="1"/>
  <c r="P63" i="10" s="1"/>
  <c r="M54" i="10"/>
  <c r="M61" i="10" s="1"/>
  <c r="M63" i="10" s="1"/>
  <c r="Q54" i="10"/>
  <c r="Q61" i="10" s="1"/>
  <c r="Q63" i="10" s="1"/>
  <c r="Q65" i="10" s="1"/>
  <c r="B35" i="10" l="1"/>
  <c r="B13" i="10"/>
  <c r="BA7" i="7" l="1"/>
  <c r="BA4" i="7"/>
  <c r="AV7" i="7"/>
  <c r="B7" i="11" l="1"/>
  <c r="J62" i="10" l="1"/>
  <c r="J51" i="10"/>
  <c r="J67" i="10"/>
  <c r="H67" i="10"/>
  <c r="H62" i="10"/>
  <c r="H51" i="10"/>
  <c r="G62" i="10"/>
  <c r="G67" i="10"/>
  <c r="D67" i="10"/>
  <c r="C67" i="10"/>
  <c r="B67" i="10"/>
  <c r="E64" i="10"/>
  <c r="H64" i="10" s="1"/>
  <c r="D64" i="10"/>
  <c r="G64" i="10" s="1"/>
  <c r="J64" i="10" s="1"/>
  <c r="M64" i="10" s="1"/>
  <c r="C64" i="10"/>
  <c r="E62" i="10"/>
  <c r="D62" i="10"/>
  <c r="C62" i="10"/>
  <c r="D51" i="10"/>
  <c r="C51" i="10"/>
  <c r="B51" i="10"/>
  <c r="E67" i="10"/>
  <c r="C54" i="10" l="1"/>
  <c r="C61" i="10" s="1"/>
  <c r="C58" i="10"/>
  <c r="D54" i="10"/>
  <c r="D61" i="10" s="1"/>
  <c r="D58" i="10"/>
  <c r="H54" i="10"/>
  <c r="H61" i="10" s="1"/>
  <c r="H58" i="10"/>
  <c r="J54" i="10"/>
  <c r="J61" i="10" s="1"/>
  <c r="J58" i="10"/>
  <c r="B54" i="10"/>
  <c r="B61" i="10" s="1"/>
  <c r="B58" i="10"/>
  <c r="P64" i="10"/>
  <c r="M65" i="10"/>
  <c r="G51" i="10"/>
  <c r="G58" i="10" s="1"/>
  <c r="E51" i="10"/>
  <c r="B8" i="11"/>
  <c r="A7" i="11"/>
  <c r="Z7" i="11" s="1"/>
  <c r="H41" i="10"/>
  <c r="G41" i="10"/>
  <c r="E41" i="10"/>
  <c r="D41" i="10"/>
  <c r="C41" i="10"/>
  <c r="H39" i="10"/>
  <c r="G39" i="10"/>
  <c r="E39" i="10"/>
  <c r="D39" i="10"/>
  <c r="C39" i="10"/>
  <c r="B31" i="10"/>
  <c r="B38" i="10" s="1"/>
  <c r="J28" i="10"/>
  <c r="C28" i="10"/>
  <c r="C27" i="10"/>
  <c r="D27" i="10" s="1"/>
  <c r="E27" i="10" s="1"/>
  <c r="G27" i="10" s="1"/>
  <c r="H27" i="10" s="1"/>
  <c r="H19" i="10"/>
  <c r="G19" i="10"/>
  <c r="E19" i="10"/>
  <c r="D19" i="10"/>
  <c r="C19" i="10"/>
  <c r="H17" i="10"/>
  <c r="G17" i="10"/>
  <c r="E17" i="10"/>
  <c r="D17" i="10"/>
  <c r="C17" i="10"/>
  <c r="B9" i="10"/>
  <c r="B16" i="10" s="1"/>
  <c r="J6" i="10"/>
  <c r="C6" i="10"/>
  <c r="C5" i="10"/>
  <c r="D5" i="10" s="1"/>
  <c r="E5" i="10" s="1"/>
  <c r="G5" i="10" s="1"/>
  <c r="H5" i="10" s="1"/>
  <c r="Y7" i="11" l="1"/>
  <c r="K8" i="11"/>
  <c r="K7" i="11"/>
  <c r="J7" i="11"/>
  <c r="J8" i="11"/>
  <c r="J63" i="10"/>
  <c r="J65" i="10" s="1"/>
  <c r="B9" i="11"/>
  <c r="K9" i="11" s="1"/>
  <c r="A8" i="11"/>
  <c r="Z8" i="11" s="1"/>
  <c r="B3" i="12"/>
  <c r="C35" i="10"/>
  <c r="J9" i="10"/>
  <c r="J16" i="10" s="1"/>
  <c r="J13" i="10"/>
  <c r="D6" i="10"/>
  <c r="E6" i="10" s="1"/>
  <c r="E13" i="10" s="1"/>
  <c r="C13" i="10"/>
  <c r="J31" i="10"/>
  <c r="J38" i="10" s="1"/>
  <c r="J35" i="10"/>
  <c r="D63" i="10"/>
  <c r="D65" i="10" s="1"/>
  <c r="E54" i="10"/>
  <c r="E61" i="10" s="1"/>
  <c r="E58" i="10"/>
  <c r="S64" i="10"/>
  <c r="S65" i="10" s="1"/>
  <c r="P65" i="10"/>
  <c r="H63" i="10"/>
  <c r="H65" i="10" s="1"/>
  <c r="C63" i="10"/>
  <c r="C65" i="10" s="1"/>
  <c r="C9" i="10"/>
  <c r="C16" i="10" s="1"/>
  <c r="C31" i="10"/>
  <c r="C38" i="10" s="1"/>
  <c r="G54" i="10"/>
  <c r="B65" i="10"/>
  <c r="B63" i="10"/>
  <c r="B20" i="10"/>
  <c r="B42" i="10"/>
  <c r="D28" i="10"/>
  <c r="D35" i="10" s="1"/>
  <c r="B18" i="10"/>
  <c r="B40" i="10"/>
  <c r="B6" i="7"/>
  <c r="B10" i="7"/>
  <c r="B9" i="7"/>
  <c r="B42" i="9"/>
  <c r="B45" i="9" s="1"/>
  <c r="C30" i="9"/>
  <c r="B14" i="9"/>
  <c r="B11" i="9"/>
  <c r="W4" i="7"/>
  <c r="AB4" i="7"/>
  <c r="AB7" i="7"/>
  <c r="AG4" i="7"/>
  <c r="AG7" i="7"/>
  <c r="AL4" i="7"/>
  <c r="AL7" i="7"/>
  <c r="AQ4" i="7"/>
  <c r="AQ7" i="7"/>
  <c r="K10" i="7"/>
  <c r="W7" i="7"/>
  <c r="R4" i="7"/>
  <c r="R7" i="7"/>
  <c r="M4" i="7"/>
  <c r="C40" i="10" l="1"/>
  <c r="C42" i="10" s="1"/>
  <c r="B10" i="11"/>
  <c r="B79" i="10"/>
  <c r="E79" i="10"/>
  <c r="D79" i="10"/>
  <c r="B78" i="10"/>
  <c r="W7" i="11" s="1"/>
  <c r="C78" i="10"/>
  <c r="Y8" i="11"/>
  <c r="A9" i="11"/>
  <c r="Z9" i="11" s="1"/>
  <c r="J9" i="11"/>
  <c r="K10" i="11"/>
  <c r="M8" i="11"/>
  <c r="M9" i="11"/>
  <c r="M10" i="11"/>
  <c r="M7" i="11"/>
  <c r="J10" i="11"/>
  <c r="B6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1" i="11"/>
  <c r="M11" i="11" s="1"/>
  <c r="D9" i="10"/>
  <c r="D16" i="10" s="1"/>
  <c r="D13" i="10"/>
  <c r="D10" i="11"/>
  <c r="D8" i="11"/>
  <c r="D9" i="11"/>
  <c r="D7" i="11"/>
  <c r="B11" i="7"/>
  <c r="E63" i="10"/>
  <c r="E65" i="10" s="1"/>
  <c r="G61" i="10"/>
  <c r="J18" i="10"/>
  <c r="J20" i="10" s="1"/>
  <c r="C28" i="9"/>
  <c r="C18" i="10"/>
  <c r="C20" i="10" s="1"/>
  <c r="J42" i="10"/>
  <c r="J40" i="10"/>
  <c r="E28" i="10"/>
  <c r="D31" i="10"/>
  <c r="E9" i="10"/>
  <c r="G13" i="10"/>
  <c r="B12" i="9"/>
  <c r="I7" i="11" s="1"/>
  <c r="B7" i="7"/>
  <c r="F6" i="7" s="1"/>
  <c r="C27" i="9"/>
  <c r="C29" i="9"/>
  <c r="C34" i="9"/>
  <c r="X8" i="11" l="1"/>
  <c r="W8" i="11"/>
  <c r="L8" i="11" s="1"/>
  <c r="X108" i="11"/>
  <c r="X94" i="11"/>
  <c r="X100" i="11"/>
  <c r="X106" i="11"/>
  <c r="X95" i="11"/>
  <c r="X98" i="11"/>
  <c r="X104" i="11"/>
  <c r="X102" i="11"/>
  <c r="X107" i="11"/>
  <c r="X93" i="11"/>
  <c r="X99" i="11"/>
  <c r="X91" i="11"/>
  <c r="X97" i="11"/>
  <c r="X96" i="11"/>
  <c r="X101" i="11"/>
  <c r="X92" i="11"/>
  <c r="X105" i="11"/>
  <c r="X103" i="11"/>
  <c r="X7" i="11"/>
  <c r="L7" i="11" s="1"/>
  <c r="X9" i="11"/>
  <c r="Y9" i="11"/>
  <c r="W9" i="11"/>
  <c r="A10" i="11"/>
  <c r="Z10" i="11" s="1"/>
  <c r="D18" i="10"/>
  <c r="D20" i="10" s="1"/>
  <c r="J11" i="11"/>
  <c r="K11" i="11"/>
  <c r="D11" i="11"/>
  <c r="E35" i="10"/>
  <c r="A27" i="7"/>
  <c r="B12" i="11"/>
  <c r="M3" i="7"/>
  <c r="J11" i="7" s="1"/>
  <c r="K11" i="7" s="1"/>
  <c r="I8" i="11"/>
  <c r="I9" i="11" s="1"/>
  <c r="I10" i="11" s="1"/>
  <c r="I11" i="11" s="1"/>
  <c r="G63" i="10"/>
  <c r="G65" i="10" s="1"/>
  <c r="H6" i="10"/>
  <c r="G9" i="10"/>
  <c r="E16" i="10"/>
  <c r="D38" i="10"/>
  <c r="E31" i="10"/>
  <c r="L9" i="11" l="1"/>
  <c r="X10" i="11"/>
  <c r="Y10" i="11"/>
  <c r="W10" i="11"/>
  <c r="A11" i="11"/>
  <c r="Z11" i="11" s="1"/>
  <c r="L10" i="7"/>
  <c r="C9" i="11"/>
  <c r="C10" i="11"/>
  <c r="C8" i="11"/>
  <c r="C7" i="11"/>
  <c r="C11" i="11"/>
  <c r="C12" i="11"/>
  <c r="K12" i="11"/>
  <c r="J12" i="11"/>
  <c r="M12" i="11"/>
  <c r="L11" i="7"/>
  <c r="I12" i="11"/>
  <c r="G35" i="10"/>
  <c r="N7" i="11"/>
  <c r="B13" i="11"/>
  <c r="D12" i="11"/>
  <c r="H13" i="10"/>
  <c r="J12" i="7"/>
  <c r="J13" i="7" s="1"/>
  <c r="J14" i="7" s="1"/>
  <c r="H9" i="10"/>
  <c r="H16" i="10" s="1"/>
  <c r="E38" i="10"/>
  <c r="E18" i="10"/>
  <c r="G16" i="10"/>
  <c r="H28" i="10"/>
  <c r="F12" i="11" s="1"/>
  <c r="G31" i="10"/>
  <c r="D40" i="10"/>
  <c r="L10" i="11" l="1"/>
  <c r="X11" i="11"/>
  <c r="Y11" i="11"/>
  <c r="W11" i="11"/>
  <c r="A12" i="11"/>
  <c r="Z12" i="11" s="1"/>
  <c r="F10" i="11"/>
  <c r="F9" i="11"/>
  <c r="F8" i="11"/>
  <c r="F11" i="11"/>
  <c r="C13" i="11"/>
  <c r="F13" i="11"/>
  <c r="J13" i="11"/>
  <c r="K13" i="11"/>
  <c r="M13" i="11"/>
  <c r="N12" i="11"/>
  <c r="I13" i="11"/>
  <c r="H35" i="10"/>
  <c r="N9" i="11"/>
  <c r="M11" i="7"/>
  <c r="N10" i="11"/>
  <c r="K12" i="7"/>
  <c r="L12" i="7" s="1"/>
  <c r="B14" i="11"/>
  <c r="G13" i="11"/>
  <c r="D13" i="11"/>
  <c r="H18" i="10"/>
  <c r="H20" i="10" s="1"/>
  <c r="M10" i="7"/>
  <c r="H31" i="10"/>
  <c r="H38" i="10" s="1"/>
  <c r="D42" i="10"/>
  <c r="G38" i="10"/>
  <c r="E20" i="10"/>
  <c r="G18" i="10"/>
  <c r="G20" i="10" s="1"/>
  <c r="E40" i="10"/>
  <c r="E42" i="10" s="1"/>
  <c r="J15" i="7"/>
  <c r="L11" i="11" l="1"/>
  <c r="X12" i="11"/>
  <c r="Y12" i="11"/>
  <c r="W12" i="11"/>
  <c r="A13" i="11"/>
  <c r="Z13" i="11" s="1"/>
  <c r="C14" i="11"/>
  <c r="F14" i="11"/>
  <c r="K14" i="11"/>
  <c r="J14" i="11"/>
  <c r="N13" i="11"/>
  <c r="I14" i="1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I80" i="11" s="1"/>
  <c r="I81" i="11" s="1"/>
  <c r="I82" i="11" s="1"/>
  <c r="I83" i="11" s="1"/>
  <c r="I84" i="11" s="1"/>
  <c r="I85" i="11" s="1"/>
  <c r="I86" i="11" s="1"/>
  <c r="I87" i="11" s="1"/>
  <c r="I88" i="11" s="1"/>
  <c r="I89" i="11" s="1"/>
  <c r="I90" i="11" s="1"/>
  <c r="H40" i="10"/>
  <c r="H42" i="10" s="1"/>
  <c r="N8" i="11"/>
  <c r="K13" i="7"/>
  <c r="L13" i="7" s="1"/>
  <c r="M12" i="7"/>
  <c r="B15" i="11"/>
  <c r="G14" i="11"/>
  <c r="D14" i="11"/>
  <c r="G40" i="10"/>
  <c r="G42" i="10" s="1"/>
  <c r="J16" i="7"/>
  <c r="L12" i="11" l="1"/>
  <c r="X13" i="11"/>
  <c r="Y13" i="11"/>
  <c r="W13" i="11"/>
  <c r="L13" i="11" s="1"/>
  <c r="A14" i="11"/>
  <c r="Z14" i="11" s="1"/>
  <c r="N11" i="11"/>
  <c r="F7" i="11"/>
  <c r="F15" i="11"/>
  <c r="C15" i="11"/>
  <c r="J15" i="11"/>
  <c r="K15" i="11"/>
  <c r="K14" i="7"/>
  <c r="M13" i="7"/>
  <c r="B16" i="11"/>
  <c r="G15" i="11"/>
  <c r="D15" i="11"/>
  <c r="J17" i="7"/>
  <c r="X14" i="11" l="1"/>
  <c r="Y14" i="11"/>
  <c r="W14" i="11"/>
  <c r="A15" i="11"/>
  <c r="Z15" i="11" s="1"/>
  <c r="C16" i="11"/>
  <c r="F16" i="11"/>
  <c r="K16" i="11"/>
  <c r="J16" i="11"/>
  <c r="L14" i="7"/>
  <c r="M14" i="7" s="1"/>
  <c r="K15" i="7"/>
  <c r="B17" i="11"/>
  <c r="G16" i="11"/>
  <c r="D16" i="11"/>
  <c r="J18" i="7"/>
  <c r="L14" i="11" l="1"/>
  <c r="M14" i="11" s="1"/>
  <c r="N14" i="11" s="1"/>
  <c r="X15" i="11"/>
  <c r="Y15" i="11"/>
  <c r="W15" i="11"/>
  <c r="A16" i="11"/>
  <c r="Z16" i="11" s="1"/>
  <c r="F17" i="11"/>
  <c r="C17" i="11"/>
  <c r="K17" i="11"/>
  <c r="J17" i="11"/>
  <c r="K16" i="7"/>
  <c r="B18" i="11"/>
  <c r="G17" i="11"/>
  <c r="D17" i="11"/>
  <c r="J19" i="7"/>
  <c r="L15" i="11" l="1"/>
  <c r="M15" i="11" s="1"/>
  <c r="N15" i="11" s="1"/>
  <c r="X16" i="11"/>
  <c r="Y16" i="11"/>
  <c r="W16" i="11"/>
  <c r="A17" i="11"/>
  <c r="Z17" i="11" s="1"/>
  <c r="F18" i="11"/>
  <c r="C18" i="11"/>
  <c r="K18" i="11"/>
  <c r="J18" i="11"/>
  <c r="K17" i="7"/>
  <c r="B19" i="11"/>
  <c r="D18" i="11"/>
  <c r="G18" i="11"/>
  <c r="J20" i="7"/>
  <c r="L16" i="11" l="1"/>
  <c r="M16" i="11" s="1"/>
  <c r="N16" i="11" s="1"/>
  <c r="X17" i="11"/>
  <c r="Y17" i="11"/>
  <c r="W17" i="11"/>
  <c r="A18" i="11"/>
  <c r="Z18" i="11" s="1"/>
  <c r="C19" i="11"/>
  <c r="F19" i="11"/>
  <c r="K19" i="11"/>
  <c r="J19" i="11"/>
  <c r="K18" i="7"/>
  <c r="B20" i="11"/>
  <c r="D19" i="11"/>
  <c r="G19" i="11"/>
  <c r="J21" i="7"/>
  <c r="K20" i="7"/>
  <c r="M20" i="7"/>
  <c r="L17" i="11" l="1"/>
  <c r="M17" i="11" s="1"/>
  <c r="N17" i="11" s="1"/>
  <c r="X18" i="11"/>
  <c r="Y18" i="11"/>
  <c r="W18" i="11"/>
  <c r="A19" i="11"/>
  <c r="Z19" i="11" s="1"/>
  <c r="F20" i="11"/>
  <c r="C20" i="11"/>
  <c r="J20" i="11"/>
  <c r="K20" i="11"/>
  <c r="K19" i="7"/>
  <c r="B21" i="11"/>
  <c r="D20" i="11"/>
  <c r="G20" i="11"/>
  <c r="J22" i="7"/>
  <c r="M21" i="7"/>
  <c r="K21" i="7"/>
  <c r="L18" i="11" l="1"/>
  <c r="M18" i="11" s="1"/>
  <c r="N18" i="11" s="1"/>
  <c r="X19" i="11"/>
  <c r="Y19" i="11"/>
  <c r="W19" i="11"/>
  <c r="A20" i="11"/>
  <c r="Z20" i="11" s="1"/>
  <c r="C21" i="11"/>
  <c r="F21" i="11"/>
  <c r="J21" i="11"/>
  <c r="K21" i="11"/>
  <c r="B22" i="11"/>
  <c r="D21" i="11"/>
  <c r="G21" i="11"/>
  <c r="J23" i="7"/>
  <c r="K22" i="7"/>
  <c r="M22" i="7"/>
  <c r="L19" i="11" l="1"/>
  <c r="M19" i="11" s="1"/>
  <c r="N19" i="11" s="1"/>
  <c r="X20" i="11"/>
  <c r="Y20" i="11"/>
  <c r="W20" i="11"/>
  <c r="A21" i="11"/>
  <c r="Z21" i="11" s="1"/>
  <c r="C22" i="11"/>
  <c r="F22" i="11"/>
  <c r="J22" i="11"/>
  <c r="K22" i="11"/>
  <c r="B23" i="11"/>
  <c r="D22" i="11"/>
  <c r="G22" i="11"/>
  <c r="J24" i="7"/>
  <c r="M23" i="7"/>
  <c r="K23" i="7"/>
  <c r="L20" i="11" l="1"/>
  <c r="M20" i="11" s="1"/>
  <c r="N20" i="11" s="1"/>
  <c r="X21" i="11"/>
  <c r="Y21" i="11"/>
  <c r="W21" i="11"/>
  <c r="A22" i="11"/>
  <c r="Z22" i="11" s="1"/>
  <c r="F23" i="11"/>
  <c r="C23" i="11"/>
  <c r="K23" i="11"/>
  <c r="J23" i="11"/>
  <c r="B24" i="11"/>
  <c r="D23" i="11"/>
  <c r="G23" i="11"/>
  <c r="J25" i="7"/>
  <c r="K24" i="7"/>
  <c r="M24" i="7"/>
  <c r="L21" i="11" l="1"/>
  <c r="M21" i="11" s="1"/>
  <c r="N21" i="11" s="1"/>
  <c r="X22" i="11"/>
  <c r="Y22" i="11"/>
  <c r="W22" i="11"/>
  <c r="A23" i="11"/>
  <c r="Z23" i="11" s="1"/>
  <c r="F24" i="11"/>
  <c r="C24" i="11"/>
  <c r="K24" i="11"/>
  <c r="J24" i="11"/>
  <c r="B25" i="11"/>
  <c r="D24" i="11"/>
  <c r="G24" i="11"/>
  <c r="J26" i="7"/>
  <c r="M25" i="7"/>
  <c r="K25" i="7"/>
  <c r="L22" i="11" l="1"/>
  <c r="M22" i="11" s="1"/>
  <c r="N22" i="11" s="1"/>
  <c r="X23" i="11"/>
  <c r="Y23" i="11"/>
  <c r="W23" i="11"/>
  <c r="A24" i="11"/>
  <c r="Z24" i="11" s="1"/>
  <c r="F25" i="11"/>
  <c r="C25" i="11"/>
  <c r="K25" i="11"/>
  <c r="J25" i="11"/>
  <c r="B26" i="11"/>
  <c r="D25" i="11"/>
  <c r="G25" i="11"/>
  <c r="J27" i="7"/>
  <c r="K26" i="7"/>
  <c r="M26" i="7"/>
  <c r="L23" i="11" l="1"/>
  <c r="M23" i="11" s="1"/>
  <c r="N23" i="11" s="1"/>
  <c r="X24" i="11"/>
  <c r="Y24" i="11"/>
  <c r="W24" i="11"/>
  <c r="A25" i="11"/>
  <c r="Z25" i="11" s="1"/>
  <c r="F26" i="11"/>
  <c r="C26" i="11"/>
  <c r="K26" i="11"/>
  <c r="J26" i="11"/>
  <c r="B27" i="11"/>
  <c r="D26" i="11"/>
  <c r="J28" i="7"/>
  <c r="M27" i="7"/>
  <c r="K27" i="7"/>
  <c r="L24" i="11" l="1"/>
  <c r="M24" i="11" s="1"/>
  <c r="N24" i="11" s="1"/>
  <c r="X25" i="11"/>
  <c r="Y25" i="11"/>
  <c r="W25" i="11"/>
  <c r="A26" i="11"/>
  <c r="Z26" i="11" s="1"/>
  <c r="C27" i="11"/>
  <c r="F27" i="11"/>
  <c r="K27" i="11"/>
  <c r="J27" i="11"/>
  <c r="B28" i="11"/>
  <c r="D27" i="11"/>
  <c r="J29" i="7"/>
  <c r="K28" i="7"/>
  <c r="M28" i="7"/>
  <c r="L25" i="11" l="1"/>
  <c r="M25" i="11" s="1"/>
  <c r="N25" i="11" s="1"/>
  <c r="X26" i="11"/>
  <c r="Y26" i="11"/>
  <c r="W26" i="11"/>
  <c r="A27" i="11"/>
  <c r="Z27" i="11" s="1"/>
  <c r="C28" i="11"/>
  <c r="F28" i="11"/>
  <c r="J28" i="11"/>
  <c r="K28" i="11"/>
  <c r="B29" i="11"/>
  <c r="D28" i="11"/>
  <c r="J30" i="7"/>
  <c r="M29" i="7"/>
  <c r="K29" i="7"/>
  <c r="L26" i="11" l="1"/>
  <c r="M26" i="11" s="1"/>
  <c r="N26" i="11" s="1"/>
  <c r="X27" i="11"/>
  <c r="Y27" i="11"/>
  <c r="W27" i="11"/>
  <c r="A28" i="11"/>
  <c r="Z28" i="11" s="1"/>
  <c r="C29" i="11"/>
  <c r="F29" i="11"/>
  <c r="J29" i="11"/>
  <c r="K29" i="11"/>
  <c r="B30" i="11"/>
  <c r="D29" i="11"/>
  <c r="J31" i="7"/>
  <c r="K30" i="7"/>
  <c r="M30" i="7"/>
  <c r="L27" i="11" l="1"/>
  <c r="M27" i="11" s="1"/>
  <c r="N27" i="11" s="1"/>
  <c r="X28" i="11"/>
  <c r="Y28" i="11"/>
  <c r="W28" i="11"/>
  <c r="A29" i="11"/>
  <c r="Z29" i="11" s="1"/>
  <c r="C30" i="11"/>
  <c r="F30" i="11"/>
  <c r="K30" i="11"/>
  <c r="J30" i="11"/>
  <c r="B31" i="11"/>
  <c r="D30" i="11"/>
  <c r="J32" i="7"/>
  <c r="M31" i="7"/>
  <c r="K31" i="7"/>
  <c r="L28" i="11" l="1"/>
  <c r="M28" i="11" s="1"/>
  <c r="N28" i="11" s="1"/>
  <c r="X29" i="11"/>
  <c r="Y29" i="11"/>
  <c r="W29" i="11"/>
  <c r="A30" i="11"/>
  <c r="Z30" i="11" s="1"/>
  <c r="F31" i="11"/>
  <c r="C31" i="11"/>
  <c r="K31" i="11"/>
  <c r="J31" i="11"/>
  <c r="B32" i="11"/>
  <c r="D31" i="11"/>
  <c r="J33" i="7"/>
  <c r="K32" i="7"/>
  <c r="M32" i="7"/>
  <c r="L29" i="11" l="1"/>
  <c r="M29" i="11" s="1"/>
  <c r="N29" i="11" s="1"/>
  <c r="X30" i="11"/>
  <c r="Y30" i="11"/>
  <c r="W30" i="11"/>
  <c r="A31" i="11"/>
  <c r="Z31" i="11" s="1"/>
  <c r="F32" i="11"/>
  <c r="C32" i="11"/>
  <c r="K32" i="11"/>
  <c r="J32" i="11"/>
  <c r="B33" i="11"/>
  <c r="D32" i="11"/>
  <c r="J34" i="7"/>
  <c r="M33" i="7"/>
  <c r="K33" i="7"/>
  <c r="L30" i="11" l="1"/>
  <c r="M30" i="11" s="1"/>
  <c r="N30" i="11" s="1"/>
  <c r="X31" i="11"/>
  <c r="Y31" i="11"/>
  <c r="W31" i="11"/>
  <c r="A32" i="11"/>
  <c r="Z32" i="11" s="1"/>
  <c r="F33" i="11"/>
  <c r="C33" i="11"/>
  <c r="K33" i="11"/>
  <c r="J33" i="11"/>
  <c r="B34" i="11"/>
  <c r="D33" i="11"/>
  <c r="J35" i="7"/>
  <c r="K34" i="7"/>
  <c r="M34" i="7"/>
  <c r="L31" i="11" l="1"/>
  <c r="M31" i="11" s="1"/>
  <c r="N31" i="11" s="1"/>
  <c r="X32" i="11"/>
  <c r="Y32" i="11"/>
  <c r="W32" i="11"/>
  <c r="A33" i="11"/>
  <c r="Z33" i="11" s="1"/>
  <c r="F34" i="11"/>
  <c r="C34" i="11"/>
  <c r="J34" i="11"/>
  <c r="K34" i="11"/>
  <c r="B35" i="11"/>
  <c r="D34" i="11"/>
  <c r="J36" i="7"/>
  <c r="M35" i="7"/>
  <c r="K35" i="7"/>
  <c r="L32" i="11" l="1"/>
  <c r="M32" i="11" s="1"/>
  <c r="N32" i="11" s="1"/>
  <c r="X33" i="11"/>
  <c r="Y33" i="11"/>
  <c r="W33" i="11"/>
  <c r="A34" i="11"/>
  <c r="Z34" i="11" s="1"/>
  <c r="C35" i="11"/>
  <c r="F35" i="11"/>
  <c r="K35" i="11"/>
  <c r="J35" i="11"/>
  <c r="B36" i="11"/>
  <c r="D35" i="11"/>
  <c r="J37" i="7"/>
  <c r="K36" i="7"/>
  <c r="M36" i="7"/>
  <c r="L33" i="11" l="1"/>
  <c r="M33" i="11" s="1"/>
  <c r="N33" i="11" s="1"/>
  <c r="X34" i="11"/>
  <c r="Y34" i="11"/>
  <c r="W34" i="11"/>
  <c r="A35" i="11"/>
  <c r="Z35" i="11" s="1"/>
  <c r="C36" i="11"/>
  <c r="F36" i="11"/>
  <c r="J36" i="11"/>
  <c r="K36" i="11"/>
  <c r="B37" i="11"/>
  <c r="D36" i="11"/>
  <c r="J38" i="7"/>
  <c r="M37" i="7"/>
  <c r="K37" i="7"/>
  <c r="L34" i="11" l="1"/>
  <c r="M34" i="11" s="1"/>
  <c r="N34" i="11" s="1"/>
  <c r="X35" i="11"/>
  <c r="Y35" i="11"/>
  <c r="W35" i="11"/>
  <c r="A36" i="11"/>
  <c r="Z36" i="11" s="1"/>
  <c r="C37" i="11"/>
  <c r="F37" i="11"/>
  <c r="J37" i="11"/>
  <c r="K37" i="11"/>
  <c r="B38" i="11"/>
  <c r="D37" i="11"/>
  <c r="J39" i="7"/>
  <c r="K38" i="7"/>
  <c r="M38" i="7"/>
  <c r="L35" i="11" l="1"/>
  <c r="M35" i="11" s="1"/>
  <c r="N35" i="11" s="1"/>
  <c r="X36" i="11"/>
  <c r="Y36" i="11"/>
  <c r="W36" i="11"/>
  <c r="A37" i="11"/>
  <c r="Z37" i="11" s="1"/>
  <c r="C38" i="11"/>
  <c r="F38" i="11"/>
  <c r="K38" i="11"/>
  <c r="J38" i="11"/>
  <c r="B39" i="11"/>
  <c r="D38" i="11"/>
  <c r="L39" i="7"/>
  <c r="M39" i="7"/>
  <c r="K39" i="7"/>
  <c r="P10" i="7" s="1"/>
  <c r="Q10" i="7" s="1"/>
  <c r="L36" i="11" l="1"/>
  <c r="M36" i="11" s="1"/>
  <c r="N36" i="11" s="1"/>
  <c r="X37" i="11"/>
  <c r="Y37" i="11"/>
  <c r="W37" i="11"/>
  <c r="A38" i="11"/>
  <c r="Z38" i="11" s="1"/>
  <c r="F39" i="11"/>
  <c r="C39" i="11"/>
  <c r="J39" i="11"/>
  <c r="K39" i="11"/>
  <c r="B40" i="11"/>
  <c r="D39" i="11"/>
  <c r="R3" i="7"/>
  <c r="L37" i="11" l="1"/>
  <c r="M37" i="11" s="1"/>
  <c r="N37" i="11" s="1"/>
  <c r="X38" i="11"/>
  <c r="Y38" i="11"/>
  <c r="W38" i="11"/>
  <c r="A39" i="11"/>
  <c r="Z39" i="11" s="1"/>
  <c r="C40" i="11"/>
  <c r="F40" i="11"/>
  <c r="K40" i="11"/>
  <c r="J40" i="11"/>
  <c r="B41" i="11"/>
  <c r="D40" i="11"/>
  <c r="O11" i="7"/>
  <c r="R10" i="7"/>
  <c r="L38" i="11" l="1"/>
  <c r="M38" i="11" s="1"/>
  <c r="N38" i="11" s="1"/>
  <c r="X39" i="11"/>
  <c r="Y39" i="11"/>
  <c r="W39" i="11"/>
  <c r="A40" i="11"/>
  <c r="Z40" i="11" s="1"/>
  <c r="F41" i="11"/>
  <c r="C41" i="11"/>
  <c r="K41" i="11"/>
  <c r="J41" i="11"/>
  <c r="B42" i="11"/>
  <c r="D41" i="11"/>
  <c r="O12" i="7"/>
  <c r="P11" i="7"/>
  <c r="Q11" i="7" s="1"/>
  <c r="L39" i="11" l="1"/>
  <c r="M39" i="11" s="1"/>
  <c r="N39" i="11" s="1"/>
  <c r="X40" i="11"/>
  <c r="Y40" i="11"/>
  <c r="W40" i="11"/>
  <c r="A41" i="11"/>
  <c r="Z41" i="11" s="1"/>
  <c r="F42" i="11"/>
  <c r="C42" i="11"/>
  <c r="K42" i="11"/>
  <c r="J42" i="11"/>
  <c r="B43" i="11"/>
  <c r="D42" i="11"/>
  <c r="R11" i="7"/>
  <c r="P12" i="7"/>
  <c r="Q12" i="7" s="1"/>
  <c r="O13" i="7"/>
  <c r="L40" i="11" l="1"/>
  <c r="M40" i="11" s="1"/>
  <c r="N40" i="11" s="1"/>
  <c r="X41" i="11"/>
  <c r="Y41" i="11"/>
  <c r="W41" i="11"/>
  <c r="A42" i="11"/>
  <c r="Z42" i="11" s="1"/>
  <c r="C43" i="11"/>
  <c r="F43" i="11"/>
  <c r="K43" i="11"/>
  <c r="J43" i="11"/>
  <c r="B44" i="11"/>
  <c r="D43" i="11"/>
  <c r="R12" i="7"/>
  <c r="O14" i="7"/>
  <c r="P13" i="7"/>
  <c r="Q13" i="7" s="1"/>
  <c r="L41" i="11" l="1"/>
  <c r="M41" i="11" s="1"/>
  <c r="N41" i="11" s="1"/>
  <c r="X42" i="11"/>
  <c r="Y42" i="11"/>
  <c r="W42" i="11"/>
  <c r="A43" i="11"/>
  <c r="Z43" i="11" s="1"/>
  <c r="F44" i="11"/>
  <c r="C44" i="11"/>
  <c r="J44" i="11"/>
  <c r="K44" i="11"/>
  <c r="B45" i="11"/>
  <c r="D44" i="11"/>
  <c r="R13" i="7"/>
  <c r="P14" i="7"/>
  <c r="Q14" i="7" s="1"/>
  <c r="O15" i="7"/>
  <c r="L42" i="11" l="1"/>
  <c r="M42" i="11" s="1"/>
  <c r="N42" i="11" s="1"/>
  <c r="X43" i="11"/>
  <c r="Y43" i="11"/>
  <c r="W43" i="11"/>
  <c r="A44" i="11"/>
  <c r="Z44" i="11" s="1"/>
  <c r="C45" i="11"/>
  <c r="F45" i="11"/>
  <c r="K45" i="11"/>
  <c r="J45" i="11"/>
  <c r="B46" i="11"/>
  <c r="D45" i="11"/>
  <c r="R14" i="7"/>
  <c r="R15" i="7"/>
  <c r="O16" i="7"/>
  <c r="P15" i="7"/>
  <c r="L43" i="11" l="1"/>
  <c r="M43" i="11" s="1"/>
  <c r="N43" i="11" s="1"/>
  <c r="X44" i="11"/>
  <c r="Y44" i="11"/>
  <c r="W44" i="11"/>
  <c r="A45" i="11"/>
  <c r="Z45" i="11" s="1"/>
  <c r="C46" i="11"/>
  <c r="F46" i="11"/>
  <c r="J46" i="11"/>
  <c r="K46" i="11"/>
  <c r="B47" i="11"/>
  <c r="D46" i="11"/>
  <c r="R16" i="7"/>
  <c r="P16" i="7"/>
  <c r="O17" i="7"/>
  <c r="L44" i="11" l="1"/>
  <c r="M44" i="11" s="1"/>
  <c r="N44" i="11" s="1"/>
  <c r="X45" i="11"/>
  <c r="Y45" i="11"/>
  <c r="W45" i="11"/>
  <c r="A46" i="11"/>
  <c r="Z46" i="11" s="1"/>
  <c r="F47" i="11"/>
  <c r="C47" i="11"/>
  <c r="J47" i="11"/>
  <c r="K47" i="11"/>
  <c r="B48" i="11"/>
  <c r="D47" i="11"/>
  <c r="R17" i="7"/>
  <c r="O18" i="7"/>
  <c r="P17" i="7"/>
  <c r="L45" i="11" l="1"/>
  <c r="M45" i="11" s="1"/>
  <c r="N45" i="11" s="1"/>
  <c r="X46" i="11"/>
  <c r="Y46" i="11"/>
  <c r="W46" i="11"/>
  <c r="A47" i="11"/>
  <c r="Z47" i="11" s="1"/>
  <c r="F48" i="11"/>
  <c r="C48" i="11"/>
  <c r="K48" i="11"/>
  <c r="J48" i="11"/>
  <c r="B49" i="11"/>
  <c r="D48" i="11"/>
  <c r="R18" i="7"/>
  <c r="P18" i="7"/>
  <c r="O19" i="7"/>
  <c r="L46" i="11" l="1"/>
  <c r="M46" i="11" s="1"/>
  <c r="N46" i="11" s="1"/>
  <c r="X47" i="11"/>
  <c r="Y47" i="11"/>
  <c r="W47" i="11"/>
  <c r="A48" i="11"/>
  <c r="Z48" i="11" s="1"/>
  <c r="F49" i="11"/>
  <c r="C49" i="11"/>
  <c r="K49" i="11"/>
  <c r="J49" i="11"/>
  <c r="B50" i="11"/>
  <c r="D49" i="11"/>
  <c r="R19" i="7"/>
  <c r="O20" i="7"/>
  <c r="P19" i="7"/>
  <c r="L47" i="11" l="1"/>
  <c r="M47" i="11" s="1"/>
  <c r="N47" i="11" s="1"/>
  <c r="X48" i="11"/>
  <c r="Y48" i="11"/>
  <c r="W48" i="11"/>
  <c r="A49" i="11"/>
  <c r="Z49" i="11" s="1"/>
  <c r="F50" i="11"/>
  <c r="C50" i="11"/>
  <c r="K50" i="11"/>
  <c r="J50" i="11"/>
  <c r="B51" i="11"/>
  <c r="D50" i="11"/>
  <c r="R20" i="7"/>
  <c r="P20" i="7"/>
  <c r="O21" i="7"/>
  <c r="L48" i="11" l="1"/>
  <c r="M48" i="11" s="1"/>
  <c r="N48" i="11" s="1"/>
  <c r="X49" i="11"/>
  <c r="Y49" i="11"/>
  <c r="W49" i="11"/>
  <c r="A50" i="11"/>
  <c r="Z50" i="11" s="1"/>
  <c r="C51" i="11"/>
  <c r="F51" i="11"/>
  <c r="K51" i="11"/>
  <c r="J51" i="11"/>
  <c r="B52" i="11"/>
  <c r="D51" i="11"/>
  <c r="R21" i="7"/>
  <c r="O22" i="7"/>
  <c r="P21" i="7"/>
  <c r="L49" i="11" l="1"/>
  <c r="M49" i="11" s="1"/>
  <c r="N49" i="11" s="1"/>
  <c r="X50" i="11"/>
  <c r="Y50" i="11"/>
  <c r="W50" i="11"/>
  <c r="A51" i="11"/>
  <c r="Z51" i="11" s="1"/>
  <c r="C52" i="11"/>
  <c r="F52" i="11"/>
  <c r="J52" i="11"/>
  <c r="K52" i="11"/>
  <c r="B53" i="11"/>
  <c r="D52" i="11"/>
  <c r="R22" i="7"/>
  <c r="P22" i="7"/>
  <c r="O23" i="7"/>
  <c r="L50" i="11" l="1"/>
  <c r="M50" i="11" s="1"/>
  <c r="N50" i="11" s="1"/>
  <c r="X51" i="11"/>
  <c r="Y51" i="11"/>
  <c r="W51" i="11"/>
  <c r="A52" i="11"/>
  <c r="Z52" i="11" s="1"/>
  <c r="C53" i="11"/>
  <c r="F53" i="11"/>
  <c r="J53" i="11"/>
  <c r="K53" i="11"/>
  <c r="B54" i="11"/>
  <c r="D53" i="11"/>
  <c r="R23" i="7"/>
  <c r="O24" i="7"/>
  <c r="P23" i="7"/>
  <c r="L51" i="11" l="1"/>
  <c r="M51" i="11" s="1"/>
  <c r="N51" i="11" s="1"/>
  <c r="X52" i="11"/>
  <c r="Y52" i="11"/>
  <c r="W52" i="11"/>
  <c r="A53" i="11"/>
  <c r="Z53" i="11" s="1"/>
  <c r="C54" i="11"/>
  <c r="F54" i="11"/>
  <c r="J54" i="11"/>
  <c r="K54" i="11"/>
  <c r="B55" i="11"/>
  <c r="D54" i="11"/>
  <c r="R24" i="7"/>
  <c r="P24" i="7"/>
  <c r="O25" i="7"/>
  <c r="L52" i="11" l="1"/>
  <c r="M52" i="11" s="1"/>
  <c r="N52" i="11" s="1"/>
  <c r="X53" i="11"/>
  <c r="Y53" i="11"/>
  <c r="W53" i="11"/>
  <c r="A54" i="11"/>
  <c r="Z54" i="11" s="1"/>
  <c r="F55" i="11"/>
  <c r="C55" i="11"/>
  <c r="J55" i="11"/>
  <c r="K55" i="11"/>
  <c r="B56" i="11"/>
  <c r="D55" i="11"/>
  <c r="R25" i="7"/>
  <c r="O26" i="7"/>
  <c r="P25" i="7"/>
  <c r="L53" i="11" l="1"/>
  <c r="M53" i="11" s="1"/>
  <c r="N53" i="11" s="1"/>
  <c r="X54" i="11"/>
  <c r="Y54" i="11"/>
  <c r="W54" i="11"/>
  <c r="A55" i="11"/>
  <c r="Z55" i="11" s="1"/>
  <c r="F56" i="11"/>
  <c r="C56" i="11"/>
  <c r="K56" i="11"/>
  <c r="J56" i="11"/>
  <c r="B57" i="11"/>
  <c r="D56" i="11"/>
  <c r="R26" i="7"/>
  <c r="P26" i="7"/>
  <c r="O27" i="7"/>
  <c r="L54" i="11" l="1"/>
  <c r="M54" i="11" s="1"/>
  <c r="N54" i="11" s="1"/>
  <c r="X55" i="11"/>
  <c r="Y55" i="11"/>
  <c r="W55" i="11"/>
  <c r="A56" i="11"/>
  <c r="Z56" i="11" s="1"/>
  <c r="F57" i="11"/>
  <c r="C57" i="11"/>
  <c r="K57" i="11"/>
  <c r="J57" i="11"/>
  <c r="B58" i="11"/>
  <c r="D57" i="11"/>
  <c r="R27" i="7"/>
  <c r="O28" i="7"/>
  <c r="P27" i="7"/>
  <c r="L55" i="11" l="1"/>
  <c r="M55" i="11" s="1"/>
  <c r="N55" i="11" s="1"/>
  <c r="X56" i="11"/>
  <c r="Y56" i="11"/>
  <c r="W56" i="11"/>
  <c r="A57" i="11"/>
  <c r="Z57" i="11" s="1"/>
  <c r="F58" i="11"/>
  <c r="C58" i="11"/>
  <c r="K58" i="11"/>
  <c r="J58" i="11"/>
  <c r="B59" i="11"/>
  <c r="D58" i="11"/>
  <c r="R28" i="7"/>
  <c r="P28" i="7"/>
  <c r="O29" i="7"/>
  <c r="L56" i="11" l="1"/>
  <c r="M56" i="11" s="1"/>
  <c r="N56" i="11" s="1"/>
  <c r="X57" i="11"/>
  <c r="Y57" i="11"/>
  <c r="W57" i="11"/>
  <c r="A58" i="11"/>
  <c r="Z58" i="11" s="1"/>
  <c r="C59" i="11"/>
  <c r="F59" i="11"/>
  <c r="J59" i="11"/>
  <c r="K59" i="11"/>
  <c r="B60" i="11"/>
  <c r="D59" i="11"/>
  <c r="R29" i="7"/>
  <c r="O30" i="7"/>
  <c r="P29" i="7"/>
  <c r="L57" i="11" l="1"/>
  <c r="M57" i="11" s="1"/>
  <c r="N57" i="11" s="1"/>
  <c r="X58" i="11"/>
  <c r="Y58" i="11"/>
  <c r="W58" i="11"/>
  <c r="A59" i="11"/>
  <c r="Z59" i="11" s="1"/>
  <c r="C60" i="11"/>
  <c r="F60" i="11"/>
  <c r="K60" i="11"/>
  <c r="J60" i="11"/>
  <c r="M60" i="11"/>
  <c r="N60" i="11" s="1"/>
  <c r="B61" i="11"/>
  <c r="D60" i="11"/>
  <c r="R30" i="7"/>
  <c r="P30" i="7"/>
  <c r="O31" i="7"/>
  <c r="L58" i="11" l="1"/>
  <c r="M58" i="11" s="1"/>
  <c r="N58" i="11" s="1"/>
  <c r="X59" i="11"/>
  <c r="Y59" i="11"/>
  <c r="W59" i="11"/>
  <c r="A60" i="11"/>
  <c r="Z60" i="11" s="1"/>
  <c r="C61" i="11"/>
  <c r="F61" i="11"/>
  <c r="J61" i="11"/>
  <c r="K61" i="11"/>
  <c r="M61" i="11"/>
  <c r="B62" i="11"/>
  <c r="D61" i="11"/>
  <c r="R31" i="7"/>
  <c r="O32" i="7"/>
  <c r="P31" i="7"/>
  <c r="L59" i="11" l="1"/>
  <c r="M59" i="11" s="1"/>
  <c r="N59" i="11" s="1"/>
  <c r="X60" i="11"/>
  <c r="Y60" i="11"/>
  <c r="W60" i="11"/>
  <c r="A61" i="11"/>
  <c r="Z61" i="11" s="1"/>
  <c r="C62" i="11"/>
  <c r="F62" i="11"/>
  <c r="J62" i="11"/>
  <c r="K62" i="11"/>
  <c r="M62" i="11"/>
  <c r="N61" i="11"/>
  <c r="B63" i="11"/>
  <c r="D62" i="11"/>
  <c r="R32" i="7"/>
  <c r="P32" i="7"/>
  <c r="O33" i="7"/>
  <c r="L60" i="11" l="1"/>
  <c r="X61" i="11"/>
  <c r="Y61" i="11"/>
  <c r="W61" i="11"/>
  <c r="A62" i="11"/>
  <c r="Z62" i="11" s="1"/>
  <c r="F63" i="11"/>
  <c r="C63" i="11"/>
  <c r="K63" i="11"/>
  <c r="J63" i="11"/>
  <c r="M63" i="11"/>
  <c r="N63" i="11" s="1"/>
  <c r="B64" i="11"/>
  <c r="N62" i="11"/>
  <c r="D63" i="11"/>
  <c r="R33" i="7"/>
  <c r="O34" i="7"/>
  <c r="P33" i="7"/>
  <c r="L61" i="11" l="1"/>
  <c r="X62" i="11"/>
  <c r="Y62" i="11"/>
  <c r="W62" i="11"/>
  <c r="A63" i="11"/>
  <c r="Z63" i="11" s="1"/>
  <c r="C64" i="11"/>
  <c r="F64" i="11"/>
  <c r="J64" i="11"/>
  <c r="K64" i="11"/>
  <c r="M64" i="11"/>
  <c r="N64" i="11" s="1"/>
  <c r="B65" i="11"/>
  <c r="B66" i="11" s="1"/>
  <c r="R34" i="7"/>
  <c r="P34" i="7"/>
  <c r="O35" i="7"/>
  <c r="L62" i="11" l="1"/>
  <c r="X63" i="11"/>
  <c r="Y63" i="11"/>
  <c r="W63" i="11"/>
  <c r="A64" i="11"/>
  <c r="Z64" i="11" s="1"/>
  <c r="F65" i="11"/>
  <c r="C65" i="11"/>
  <c r="K65" i="11"/>
  <c r="J65" i="11"/>
  <c r="M65" i="11"/>
  <c r="N65" i="11" s="1"/>
  <c r="F66" i="11"/>
  <c r="C66" i="11"/>
  <c r="J66" i="11"/>
  <c r="K66" i="11"/>
  <c r="M66" i="11"/>
  <c r="N66" i="11" s="1"/>
  <c r="B67" i="11"/>
  <c r="R35" i="7"/>
  <c r="O36" i="7"/>
  <c r="P35" i="7"/>
  <c r="L63" i="11" l="1"/>
  <c r="X64" i="11"/>
  <c r="Y64" i="11"/>
  <c r="W64" i="11"/>
  <c r="A65" i="11"/>
  <c r="Z65" i="11" s="1"/>
  <c r="C67" i="11"/>
  <c r="F67" i="11"/>
  <c r="K67" i="11"/>
  <c r="J67" i="11"/>
  <c r="M67" i="11"/>
  <c r="N67" i="11" s="1"/>
  <c r="B68" i="11"/>
  <c r="R36" i="7"/>
  <c r="P36" i="7"/>
  <c r="O37" i="7"/>
  <c r="L64" i="11" l="1"/>
  <c r="X65" i="11"/>
  <c r="Y65" i="11"/>
  <c r="W65" i="11"/>
  <c r="A66" i="11"/>
  <c r="Z66" i="11" s="1"/>
  <c r="C68" i="11"/>
  <c r="F68" i="11"/>
  <c r="J68" i="11"/>
  <c r="K68" i="11"/>
  <c r="M68" i="11"/>
  <c r="N68" i="11" s="1"/>
  <c r="B69" i="11"/>
  <c r="R37" i="7"/>
  <c r="O38" i="7"/>
  <c r="P37" i="7"/>
  <c r="L65" i="11" l="1"/>
  <c r="X66" i="11"/>
  <c r="Y66" i="11"/>
  <c r="W66" i="11"/>
  <c r="A67" i="11"/>
  <c r="Z67" i="11" s="1"/>
  <c r="C69" i="11"/>
  <c r="F69" i="11"/>
  <c r="J69" i="11"/>
  <c r="K69" i="11"/>
  <c r="M69" i="11"/>
  <c r="N69" i="11" s="1"/>
  <c r="B70" i="11"/>
  <c r="R38" i="7"/>
  <c r="P38" i="7"/>
  <c r="O39" i="7"/>
  <c r="L66" i="11" l="1"/>
  <c r="X67" i="11"/>
  <c r="Y67" i="11"/>
  <c r="W67" i="11"/>
  <c r="A68" i="11"/>
  <c r="Z68" i="11" s="1"/>
  <c r="C70" i="11"/>
  <c r="F70" i="11"/>
  <c r="J70" i="11"/>
  <c r="K70" i="11"/>
  <c r="M70" i="11"/>
  <c r="N70" i="11" s="1"/>
  <c r="B71" i="11"/>
  <c r="R39" i="7"/>
  <c r="R5" i="7" s="1"/>
  <c r="Q39" i="7"/>
  <c r="P39" i="7"/>
  <c r="L67" i="11" l="1"/>
  <c r="X68" i="11"/>
  <c r="Y68" i="11"/>
  <c r="W68" i="11"/>
  <c r="A69" i="11"/>
  <c r="F71" i="11"/>
  <c r="C71" i="11"/>
  <c r="J71" i="11"/>
  <c r="K71" i="11"/>
  <c r="M71" i="11"/>
  <c r="N71" i="11" s="1"/>
  <c r="B72" i="11"/>
  <c r="W3" i="7"/>
  <c r="U10" i="7"/>
  <c r="V10" i="7" s="1"/>
  <c r="E17" i="7"/>
  <c r="R6" i="7"/>
  <c r="L68" i="11" l="1"/>
  <c r="Y69" i="11"/>
  <c r="Z69" i="11"/>
  <c r="W69" i="11"/>
  <c r="X69" i="11"/>
  <c r="A70" i="11"/>
  <c r="F72" i="11"/>
  <c r="C72" i="11"/>
  <c r="K72" i="11"/>
  <c r="J72" i="11"/>
  <c r="M72" i="11"/>
  <c r="N72" i="11" s="1"/>
  <c r="B73" i="11"/>
  <c r="T11" i="7"/>
  <c r="W10" i="7"/>
  <c r="G17" i="7"/>
  <c r="D7" i="12" s="1"/>
  <c r="L69" i="11" l="1"/>
  <c r="Y70" i="11"/>
  <c r="Z70" i="11"/>
  <c r="W70" i="11"/>
  <c r="X70" i="11"/>
  <c r="A71" i="11"/>
  <c r="F73" i="11"/>
  <c r="C73" i="11"/>
  <c r="K73" i="11"/>
  <c r="J73" i="11"/>
  <c r="M73" i="11"/>
  <c r="N73" i="11" s="1"/>
  <c r="B74" i="11"/>
  <c r="U11" i="7"/>
  <c r="V11" i="7" s="1"/>
  <c r="T12" i="7"/>
  <c r="L70" i="11" l="1"/>
  <c r="Y71" i="11"/>
  <c r="Z71" i="11"/>
  <c r="W71" i="11"/>
  <c r="X71" i="11"/>
  <c r="A72" i="11"/>
  <c r="F74" i="11"/>
  <c r="C74" i="11"/>
  <c r="K74" i="11"/>
  <c r="J74" i="11"/>
  <c r="M74" i="11"/>
  <c r="N74" i="11" s="1"/>
  <c r="B75" i="11"/>
  <c r="W11" i="7"/>
  <c r="T13" i="7"/>
  <c r="U12" i="7"/>
  <c r="V12" i="7" s="1"/>
  <c r="L71" i="11" l="1"/>
  <c r="Y72" i="11"/>
  <c r="Z72" i="11"/>
  <c r="W72" i="11"/>
  <c r="X72" i="11"/>
  <c r="A73" i="11"/>
  <c r="C75" i="11"/>
  <c r="F75" i="11"/>
  <c r="J75" i="11"/>
  <c r="K75" i="11"/>
  <c r="M75" i="11"/>
  <c r="N75" i="11" s="1"/>
  <c r="B76" i="11"/>
  <c r="W12" i="7"/>
  <c r="U13" i="7"/>
  <c r="V13" i="7" s="1"/>
  <c r="T14" i="7"/>
  <c r="L72" i="11" l="1"/>
  <c r="Y73" i="11"/>
  <c r="Z73" i="11"/>
  <c r="W73" i="11"/>
  <c r="X73" i="11"/>
  <c r="A74" i="11"/>
  <c r="Z74" i="11" s="1"/>
  <c r="C76" i="11"/>
  <c r="F76" i="11"/>
  <c r="K76" i="11"/>
  <c r="J76" i="11"/>
  <c r="M76" i="11"/>
  <c r="N76" i="11" s="1"/>
  <c r="B77" i="11"/>
  <c r="W13" i="7"/>
  <c r="T15" i="7"/>
  <c r="U14" i="7"/>
  <c r="V14" i="7" s="1"/>
  <c r="L73" i="11" l="1"/>
  <c r="X74" i="11"/>
  <c r="Y74" i="11"/>
  <c r="A75" i="11"/>
  <c r="Z75" i="11" s="1"/>
  <c r="W74" i="11"/>
  <c r="C77" i="11"/>
  <c r="F77" i="11"/>
  <c r="J77" i="11"/>
  <c r="K77" i="11"/>
  <c r="M77" i="11"/>
  <c r="N77" i="11" s="1"/>
  <c r="B78" i="11"/>
  <c r="W14" i="7"/>
  <c r="T16" i="7"/>
  <c r="U15" i="7"/>
  <c r="L74" i="11" l="1"/>
  <c r="X75" i="11"/>
  <c r="Y75" i="11"/>
  <c r="A76" i="11"/>
  <c r="Z76" i="11" s="1"/>
  <c r="W75" i="11"/>
  <c r="C78" i="11"/>
  <c r="F78" i="11"/>
  <c r="J78" i="11"/>
  <c r="K78" i="11"/>
  <c r="M78" i="11"/>
  <c r="N78" i="11" s="1"/>
  <c r="B79" i="11"/>
  <c r="W15" i="7"/>
  <c r="T17" i="7"/>
  <c r="U16" i="7"/>
  <c r="L75" i="11" l="1"/>
  <c r="X76" i="11"/>
  <c r="Y76" i="11"/>
  <c r="A77" i="11"/>
  <c r="Z77" i="11" s="1"/>
  <c r="W76" i="11"/>
  <c r="F79" i="11"/>
  <c r="C79" i="11"/>
  <c r="K79" i="11"/>
  <c r="J79" i="11"/>
  <c r="M79" i="11"/>
  <c r="N79" i="11" s="1"/>
  <c r="B80" i="11"/>
  <c r="W16" i="7"/>
  <c r="T18" i="7"/>
  <c r="U17" i="7"/>
  <c r="W17" i="7"/>
  <c r="L76" i="11" l="1"/>
  <c r="X77" i="11"/>
  <c r="Y77" i="11"/>
  <c r="A78" i="11"/>
  <c r="Z78" i="11" s="1"/>
  <c r="W77" i="11"/>
  <c r="F80" i="11"/>
  <c r="C80" i="11"/>
  <c r="K80" i="11"/>
  <c r="J80" i="11"/>
  <c r="M80" i="11"/>
  <c r="N80" i="11" s="1"/>
  <c r="B81" i="11"/>
  <c r="T19" i="7"/>
  <c r="W18" i="7"/>
  <c r="U18" i="7"/>
  <c r="L77" i="11" l="1"/>
  <c r="X78" i="11"/>
  <c r="Y78" i="11"/>
  <c r="A79" i="11"/>
  <c r="Z79" i="11" s="1"/>
  <c r="W78" i="11"/>
  <c r="F81" i="11"/>
  <c r="C81" i="11"/>
  <c r="J81" i="11"/>
  <c r="K81" i="11"/>
  <c r="M81" i="11"/>
  <c r="N81" i="11" s="1"/>
  <c r="B82" i="11"/>
  <c r="T20" i="7"/>
  <c r="U19" i="7"/>
  <c r="W19" i="7"/>
  <c r="L78" i="11" l="1"/>
  <c r="X79" i="11"/>
  <c r="Y79" i="11"/>
  <c r="A80" i="11"/>
  <c r="Z80" i="11" s="1"/>
  <c r="W79" i="11"/>
  <c r="F82" i="11"/>
  <c r="C82" i="11"/>
  <c r="J82" i="11"/>
  <c r="K82" i="11"/>
  <c r="M82" i="11"/>
  <c r="N82" i="11" s="1"/>
  <c r="B83" i="11"/>
  <c r="T21" i="7"/>
  <c r="W20" i="7"/>
  <c r="U20" i="7"/>
  <c r="L79" i="11" l="1"/>
  <c r="X80" i="11"/>
  <c r="Y80" i="11"/>
  <c r="A81" i="11"/>
  <c r="Z81" i="11" s="1"/>
  <c r="W80" i="11"/>
  <c r="C83" i="11"/>
  <c r="F83" i="11"/>
  <c r="J83" i="11"/>
  <c r="K83" i="11"/>
  <c r="M83" i="11"/>
  <c r="N83" i="11" s="1"/>
  <c r="B84" i="11"/>
  <c r="T22" i="7"/>
  <c r="U21" i="7"/>
  <c r="W21" i="7"/>
  <c r="L80" i="11" l="1"/>
  <c r="X81" i="11"/>
  <c r="Y81" i="11"/>
  <c r="A82" i="11"/>
  <c r="Z82" i="11" s="1"/>
  <c r="W81" i="11"/>
  <c r="F84" i="11"/>
  <c r="C84" i="11"/>
  <c r="J84" i="11"/>
  <c r="K84" i="11"/>
  <c r="M84" i="11"/>
  <c r="N84" i="11" s="1"/>
  <c r="B85" i="11"/>
  <c r="T23" i="7"/>
  <c r="W22" i="7"/>
  <c r="U22" i="7"/>
  <c r="L81" i="11" l="1"/>
  <c r="X82" i="11"/>
  <c r="Y82" i="11"/>
  <c r="A83" i="11"/>
  <c r="Z83" i="11" s="1"/>
  <c r="W82" i="11"/>
  <c r="C85" i="11"/>
  <c r="F85" i="11"/>
  <c r="K85" i="11"/>
  <c r="J85" i="11"/>
  <c r="M85" i="11"/>
  <c r="N85" i="11" s="1"/>
  <c r="B86" i="11"/>
  <c r="T24" i="7"/>
  <c r="U23" i="7"/>
  <c r="W23" i="7"/>
  <c r="L82" i="11" l="1"/>
  <c r="X83" i="11"/>
  <c r="Y83" i="11"/>
  <c r="A84" i="11"/>
  <c r="Z84" i="11" s="1"/>
  <c r="W83" i="11"/>
  <c r="C86" i="11"/>
  <c r="F86" i="11"/>
  <c r="K86" i="11"/>
  <c r="J86" i="11"/>
  <c r="M86" i="11"/>
  <c r="N86" i="11" s="1"/>
  <c r="B87" i="11"/>
  <c r="T25" i="7"/>
  <c r="W24" i="7"/>
  <c r="U24" i="7"/>
  <c r="L83" i="11" l="1"/>
  <c r="X84" i="11"/>
  <c r="Y84" i="11"/>
  <c r="A85" i="11"/>
  <c r="Z85" i="11" s="1"/>
  <c r="W84" i="11"/>
  <c r="F87" i="11"/>
  <c r="C87" i="11"/>
  <c r="K87" i="11"/>
  <c r="J87" i="11"/>
  <c r="M87" i="11"/>
  <c r="N87" i="11" s="1"/>
  <c r="B88" i="11"/>
  <c r="T26" i="7"/>
  <c r="U25" i="7"/>
  <c r="W25" i="7"/>
  <c r="L84" i="11" l="1"/>
  <c r="X85" i="11"/>
  <c r="Y85" i="11"/>
  <c r="A86" i="11"/>
  <c r="Z86" i="11" s="1"/>
  <c r="W85" i="11"/>
  <c r="C88" i="11"/>
  <c r="F88" i="11"/>
  <c r="J88" i="11"/>
  <c r="K88" i="11"/>
  <c r="M88" i="11"/>
  <c r="N88" i="11" s="1"/>
  <c r="B89" i="11"/>
  <c r="T27" i="7"/>
  <c r="W26" i="7"/>
  <c r="U26" i="7"/>
  <c r="L85" i="11" l="1"/>
  <c r="X86" i="11"/>
  <c r="Y86" i="11"/>
  <c r="A87" i="11"/>
  <c r="Z87" i="11" s="1"/>
  <c r="W86" i="11"/>
  <c r="F89" i="11"/>
  <c r="C89" i="11"/>
  <c r="K89" i="11"/>
  <c r="J89" i="11"/>
  <c r="M89" i="11"/>
  <c r="N89" i="11" s="1"/>
  <c r="B90" i="11"/>
  <c r="T28" i="7"/>
  <c r="U27" i="7"/>
  <c r="V27" i="7" s="1"/>
  <c r="W27" i="7"/>
  <c r="L86" i="11" l="1"/>
  <c r="X87" i="11"/>
  <c r="Y87" i="11"/>
  <c r="A88" i="11"/>
  <c r="Z88" i="11" s="1"/>
  <c r="W87" i="11"/>
  <c r="V26" i="7"/>
  <c r="F90" i="11"/>
  <c r="C90" i="11"/>
  <c r="K90" i="11"/>
  <c r="J90" i="11"/>
  <c r="M90" i="11"/>
  <c r="V25" i="7"/>
  <c r="V24" i="7"/>
  <c r="V22" i="7"/>
  <c r="V19" i="7"/>
  <c r="V21" i="7"/>
  <c r="V20" i="7"/>
  <c r="V23" i="7"/>
  <c r="T29" i="7"/>
  <c r="W28" i="7"/>
  <c r="U28" i="7"/>
  <c r="V28" i="7" s="1"/>
  <c r="L87" i="11" l="1"/>
  <c r="X88" i="11"/>
  <c r="Y88" i="11"/>
  <c r="A89" i="11"/>
  <c r="Z89" i="11" s="1"/>
  <c r="W88" i="11"/>
  <c r="L15" i="7"/>
  <c r="M15" i="7" s="1"/>
  <c r="L17" i="7"/>
  <c r="M17" i="7" s="1"/>
  <c r="L20" i="7"/>
  <c r="L18" i="7"/>
  <c r="M18" i="7" s="1"/>
  <c r="L16" i="7"/>
  <c r="M16" i="7" s="1"/>
  <c r="L19" i="7"/>
  <c r="M19" i="7" s="1"/>
  <c r="L21" i="7"/>
  <c r="L23" i="7"/>
  <c r="L22" i="7"/>
  <c r="L24" i="7"/>
  <c r="L25" i="7"/>
  <c r="L27" i="7"/>
  <c r="L26" i="7"/>
  <c r="L28" i="7"/>
  <c r="L30" i="7"/>
  <c r="L31" i="7"/>
  <c r="L29" i="7"/>
  <c r="L33" i="7"/>
  <c r="L32" i="7"/>
  <c r="L34" i="7"/>
  <c r="L37" i="7"/>
  <c r="L35" i="7"/>
  <c r="L36" i="7"/>
  <c r="L38" i="7"/>
  <c r="Q15" i="7"/>
  <c r="Q16" i="7"/>
  <c r="Q19" i="7"/>
  <c r="Q18" i="7"/>
  <c r="Q17" i="7"/>
  <c r="Q20" i="7"/>
  <c r="Q21" i="7"/>
  <c r="Q22" i="7"/>
  <c r="Q24" i="7"/>
  <c r="Q26" i="7"/>
  <c r="Q23" i="7"/>
  <c r="Q27" i="7"/>
  <c r="Q25" i="7"/>
  <c r="Q28" i="7"/>
  <c r="Q30" i="7"/>
  <c r="Q29" i="7"/>
  <c r="Q33" i="7"/>
  <c r="Q31" i="7"/>
  <c r="Q32" i="7"/>
  <c r="Q37" i="7"/>
  <c r="Q35" i="7"/>
  <c r="Q34" i="7"/>
  <c r="Q38" i="7"/>
  <c r="Q36" i="7"/>
  <c r="V15" i="7"/>
  <c r="V17" i="7"/>
  <c r="V16" i="7"/>
  <c r="V18" i="7"/>
  <c r="N90" i="11"/>
  <c r="B18" i="9" s="1"/>
  <c r="T30" i="7"/>
  <c r="U29" i="7"/>
  <c r="V29" i="7" s="1"/>
  <c r="W29" i="7"/>
  <c r="L88" i="11" l="1"/>
  <c r="X89" i="11"/>
  <c r="Y89" i="11"/>
  <c r="A90" i="11"/>
  <c r="W89" i="11"/>
  <c r="M5" i="7"/>
  <c r="T31" i="7"/>
  <c r="W30" i="7"/>
  <c r="U30" i="7"/>
  <c r="V30" i="7" s="1"/>
  <c r="L89" i="11" l="1"/>
  <c r="Y90" i="11"/>
  <c r="Z90" i="11"/>
  <c r="W90" i="11"/>
  <c r="X90" i="11"/>
  <c r="E16" i="7"/>
  <c r="M6" i="7"/>
  <c r="G16" i="7" s="1"/>
  <c r="D6" i="12" s="1"/>
  <c r="T32" i="7"/>
  <c r="U31" i="7"/>
  <c r="V31" i="7" s="1"/>
  <c r="W31" i="7"/>
  <c r="E6" i="12" l="1"/>
  <c r="F6" i="12"/>
  <c r="L90" i="11"/>
  <c r="I6" i="12"/>
  <c r="I7" i="12" s="1"/>
  <c r="T33" i="7"/>
  <c r="W32" i="7"/>
  <c r="U32" i="7"/>
  <c r="V32" i="7" s="1"/>
  <c r="E7" i="12" l="1"/>
  <c r="F7" i="12"/>
  <c r="T34" i="7"/>
  <c r="U33" i="7"/>
  <c r="V33" i="7" s="1"/>
  <c r="W33" i="7"/>
  <c r="T35" i="7" l="1"/>
  <c r="W34" i="7"/>
  <c r="U34" i="7"/>
  <c r="V34" i="7" s="1"/>
  <c r="T36" i="7" l="1"/>
  <c r="U35" i="7"/>
  <c r="V35" i="7" s="1"/>
  <c r="W35" i="7"/>
  <c r="T37" i="7" l="1"/>
  <c r="W36" i="7"/>
  <c r="U36" i="7"/>
  <c r="V36" i="7" s="1"/>
  <c r="T38" i="7" l="1"/>
  <c r="U37" i="7"/>
  <c r="V37" i="7" s="1"/>
  <c r="W37" i="7"/>
  <c r="T39" i="7" l="1"/>
  <c r="W38" i="7"/>
  <c r="U38" i="7"/>
  <c r="V38" i="7" s="1"/>
  <c r="V39" i="7" l="1"/>
  <c r="U39" i="7"/>
  <c r="W39" i="7"/>
  <c r="W5" i="7" s="1"/>
  <c r="E18" i="7" l="1"/>
  <c r="W6" i="7"/>
  <c r="Z10" i="7"/>
  <c r="AA10" i="7" s="1"/>
  <c r="AB3" i="7"/>
  <c r="Y11" i="7" l="1"/>
  <c r="AB10" i="7"/>
  <c r="G18" i="7"/>
  <c r="D8" i="12" s="1"/>
  <c r="I8" i="12" l="1"/>
  <c r="E8" i="12" s="1"/>
  <c r="Y12" i="7"/>
  <c r="Z11" i="7"/>
  <c r="AA11" i="7" s="1"/>
  <c r="F8" i="12" l="1"/>
  <c r="AB11" i="7"/>
  <c r="Y13" i="7"/>
  <c r="Z12" i="7"/>
  <c r="AA12" i="7" s="1"/>
  <c r="AB12" i="7" l="1"/>
  <c r="Y14" i="7"/>
  <c r="Z13" i="7"/>
  <c r="AA13" i="7" s="1"/>
  <c r="AB13" i="7" l="1"/>
  <c r="Y15" i="7"/>
  <c r="Z14" i="7"/>
  <c r="AA14" i="7" s="1"/>
  <c r="AB14" i="7" l="1"/>
  <c r="AB15" i="7"/>
  <c r="Z15" i="7"/>
  <c r="AA15" i="7" s="1"/>
  <c r="Y16" i="7"/>
  <c r="AB16" i="7" l="1"/>
  <c r="Y17" i="7"/>
  <c r="Z16" i="7"/>
  <c r="AA16" i="7" s="1"/>
  <c r="AB17" i="7" l="1"/>
  <c r="Z17" i="7"/>
  <c r="AA17" i="7" s="1"/>
  <c r="Y18" i="7"/>
  <c r="AB18" i="7" l="1"/>
  <c r="Y19" i="7"/>
  <c r="Z18" i="7"/>
  <c r="AA18" i="7" s="1"/>
  <c r="AB19" i="7" l="1"/>
  <c r="Z19" i="7"/>
  <c r="AA19" i="7" s="1"/>
  <c r="Y20" i="7"/>
  <c r="AB20" i="7" l="1"/>
  <c r="Y21" i="7"/>
  <c r="Z20" i="7"/>
  <c r="AA20" i="7" s="1"/>
  <c r="AB21" i="7" l="1"/>
  <c r="Z21" i="7"/>
  <c r="AA21" i="7" s="1"/>
  <c r="Y22" i="7"/>
  <c r="AB22" i="7" l="1"/>
  <c r="Y23" i="7"/>
  <c r="Z22" i="7"/>
  <c r="AA22" i="7" s="1"/>
  <c r="AB23" i="7" l="1"/>
  <c r="Z23" i="7"/>
  <c r="AA23" i="7" s="1"/>
  <c r="Y24" i="7"/>
  <c r="AB24" i="7" l="1"/>
  <c r="Y25" i="7"/>
  <c r="Z24" i="7"/>
  <c r="AA24" i="7" s="1"/>
  <c r="AB25" i="7" l="1"/>
  <c r="Z25" i="7"/>
  <c r="AA25" i="7" s="1"/>
  <c r="Y26" i="7"/>
  <c r="AB26" i="7" l="1"/>
  <c r="Y27" i="7"/>
  <c r="Z26" i="7"/>
  <c r="AA26" i="7" s="1"/>
  <c r="AB27" i="7" l="1"/>
  <c r="Z27" i="7"/>
  <c r="AA27" i="7" s="1"/>
  <c r="Y28" i="7"/>
  <c r="AB28" i="7" l="1"/>
  <c r="Y29" i="7"/>
  <c r="Z28" i="7"/>
  <c r="AA28" i="7" s="1"/>
  <c r="AB29" i="7" l="1"/>
  <c r="Z29" i="7"/>
  <c r="AA29" i="7" s="1"/>
  <c r="Y30" i="7"/>
  <c r="AB30" i="7" l="1"/>
  <c r="Y31" i="7"/>
  <c r="Z30" i="7"/>
  <c r="AA30" i="7" s="1"/>
  <c r="AB31" i="7" l="1"/>
  <c r="Z31" i="7"/>
  <c r="AA31" i="7" s="1"/>
  <c r="Y32" i="7"/>
  <c r="AB32" i="7" l="1"/>
  <c r="Y33" i="7"/>
  <c r="Z32" i="7"/>
  <c r="AA32" i="7" s="1"/>
  <c r="AB33" i="7" l="1"/>
  <c r="Z33" i="7"/>
  <c r="AA33" i="7" s="1"/>
  <c r="Y34" i="7"/>
  <c r="AB34" i="7" l="1"/>
  <c r="Y35" i="7"/>
  <c r="Z34" i="7"/>
  <c r="AA34" i="7" s="1"/>
  <c r="AB35" i="7" l="1"/>
  <c r="Z35" i="7"/>
  <c r="AA35" i="7" s="1"/>
  <c r="Y36" i="7"/>
  <c r="AB36" i="7" l="1"/>
  <c r="Y37" i="7"/>
  <c r="Z36" i="7"/>
  <c r="AA36" i="7" s="1"/>
  <c r="AB37" i="7" l="1"/>
  <c r="Z37" i="7"/>
  <c r="AA37" i="7" s="1"/>
  <c r="Y38" i="7"/>
  <c r="AB38" i="7" l="1"/>
  <c r="Y39" i="7"/>
  <c r="Z38" i="7"/>
  <c r="AA38" i="7" s="1"/>
  <c r="AB39" i="7" l="1"/>
  <c r="AB5" i="7" s="1"/>
  <c r="AA39" i="7"/>
  <c r="Z39" i="7"/>
  <c r="AE10" i="7" l="1"/>
  <c r="AF10" i="7" s="1"/>
  <c r="AG3" i="7"/>
  <c r="E19" i="7"/>
  <c r="AB6" i="7"/>
  <c r="G19" i="7" l="1"/>
  <c r="D9" i="12" s="1"/>
  <c r="AD11" i="7"/>
  <c r="AG10" i="7"/>
  <c r="I9" i="12" l="1"/>
  <c r="E9" i="12" s="1"/>
  <c r="AD12" i="7"/>
  <c r="AE11" i="7"/>
  <c r="AF11" i="7" s="1"/>
  <c r="F9" i="12" l="1"/>
  <c r="AG11" i="7"/>
  <c r="AD13" i="7"/>
  <c r="AE12" i="7"/>
  <c r="AF12" i="7" s="1"/>
  <c r="AG12" i="7" l="1"/>
  <c r="AD14" i="7"/>
  <c r="AE13" i="7"/>
  <c r="AF13" i="7" s="1"/>
  <c r="AG13" i="7" l="1"/>
  <c r="AD15" i="7"/>
  <c r="AE14" i="7"/>
  <c r="AF14" i="7" s="1"/>
  <c r="AG14" i="7" l="1"/>
  <c r="AD16" i="7"/>
  <c r="AE15" i="7"/>
  <c r="AF15" i="7" s="1"/>
  <c r="AG15" i="7" l="1"/>
  <c r="AG16" i="7"/>
  <c r="AD17" i="7"/>
  <c r="AE16" i="7"/>
  <c r="AF16" i="7" s="1"/>
  <c r="AG17" i="7" l="1"/>
  <c r="AD18" i="7"/>
  <c r="AE17" i="7"/>
  <c r="AF17" i="7" s="1"/>
  <c r="AG18" i="7" l="1"/>
  <c r="AD19" i="7"/>
  <c r="AE18" i="7"/>
  <c r="AF18" i="7" s="1"/>
  <c r="AG19" i="7" l="1"/>
  <c r="AD20" i="7"/>
  <c r="AE19" i="7"/>
  <c r="AF19" i="7" s="1"/>
  <c r="AG20" i="7" l="1"/>
  <c r="AD21" i="7"/>
  <c r="AE20" i="7"/>
  <c r="AF20" i="7" s="1"/>
  <c r="AG21" i="7" l="1"/>
  <c r="AD22" i="7"/>
  <c r="AE21" i="7"/>
  <c r="AF21" i="7" s="1"/>
  <c r="AG22" i="7" l="1"/>
  <c r="AD23" i="7"/>
  <c r="AE22" i="7"/>
  <c r="AF22" i="7" s="1"/>
  <c r="AG23" i="7" l="1"/>
  <c r="AD24" i="7"/>
  <c r="AE23" i="7"/>
  <c r="AF23" i="7" s="1"/>
  <c r="AG24" i="7" l="1"/>
  <c r="AD25" i="7"/>
  <c r="AE24" i="7"/>
  <c r="AF24" i="7" s="1"/>
  <c r="AG25" i="7" l="1"/>
  <c r="AD26" i="7"/>
  <c r="AE25" i="7"/>
  <c r="AF25" i="7" s="1"/>
  <c r="AG26" i="7" l="1"/>
  <c r="AD27" i="7"/>
  <c r="AE26" i="7"/>
  <c r="AF26" i="7" s="1"/>
  <c r="AG27" i="7" l="1"/>
  <c r="AD28" i="7"/>
  <c r="AE27" i="7"/>
  <c r="AF27" i="7" s="1"/>
  <c r="AG28" i="7" l="1"/>
  <c r="AD29" i="7"/>
  <c r="AE28" i="7"/>
  <c r="AF28" i="7" s="1"/>
  <c r="AG29" i="7" l="1"/>
  <c r="AD30" i="7"/>
  <c r="AE29" i="7"/>
  <c r="AF29" i="7" s="1"/>
  <c r="AG30" i="7" l="1"/>
  <c r="AD31" i="7"/>
  <c r="AE30" i="7"/>
  <c r="AF30" i="7" s="1"/>
  <c r="AG31" i="7" l="1"/>
  <c r="AD32" i="7"/>
  <c r="AE31" i="7"/>
  <c r="AF31" i="7" s="1"/>
  <c r="AG32" i="7" l="1"/>
  <c r="AD33" i="7"/>
  <c r="AE32" i="7"/>
  <c r="AF32" i="7" s="1"/>
  <c r="AG33" i="7" l="1"/>
  <c r="AD34" i="7"/>
  <c r="AE33" i="7"/>
  <c r="AF33" i="7" s="1"/>
  <c r="AG34" i="7" l="1"/>
  <c r="AD35" i="7"/>
  <c r="AE34" i="7"/>
  <c r="AF34" i="7" s="1"/>
  <c r="AG35" i="7" l="1"/>
  <c r="AD36" i="7"/>
  <c r="AE35" i="7"/>
  <c r="AF35" i="7" s="1"/>
  <c r="AG36" i="7" l="1"/>
  <c r="AD37" i="7"/>
  <c r="AE36" i="7"/>
  <c r="AF36" i="7" s="1"/>
  <c r="AG37" i="7" l="1"/>
  <c r="AD38" i="7"/>
  <c r="AE37" i="7"/>
  <c r="AF37" i="7" s="1"/>
  <c r="AG38" i="7" l="1"/>
  <c r="AE38" i="7"/>
  <c r="AF38" i="7" s="1"/>
  <c r="AD39" i="7"/>
  <c r="AG39" i="7" l="1"/>
  <c r="AG5" i="7" s="1"/>
  <c r="AE39" i="7"/>
  <c r="AF39" i="7"/>
  <c r="AG6" i="7" l="1"/>
  <c r="E20" i="7"/>
  <c r="AJ10" i="7"/>
  <c r="AK10" i="7" s="1"/>
  <c r="AL3" i="7"/>
  <c r="G20" i="7" l="1"/>
  <c r="D10" i="12" s="1"/>
  <c r="AI11" i="7"/>
  <c r="AL10" i="7"/>
  <c r="I10" i="12" l="1"/>
  <c r="E10" i="12" s="1"/>
  <c r="AI12" i="7"/>
  <c r="AJ11" i="7"/>
  <c r="AK11" i="7" s="1"/>
  <c r="F10" i="12" l="1"/>
  <c r="AL11" i="7"/>
  <c r="AJ12" i="7"/>
  <c r="AK12" i="7" s="1"/>
  <c r="AI13" i="7"/>
  <c r="AL12" i="7" l="1"/>
  <c r="AI14" i="7"/>
  <c r="AJ13" i="7"/>
  <c r="AK13" i="7" s="1"/>
  <c r="AL13" i="7" l="1"/>
  <c r="AJ14" i="7"/>
  <c r="AK14" i="7" s="1"/>
  <c r="AI15" i="7"/>
  <c r="AL14" i="7" l="1"/>
  <c r="AI16" i="7"/>
  <c r="AJ15" i="7"/>
  <c r="AK15" i="7" s="1"/>
  <c r="AL15" i="7" l="1"/>
  <c r="AJ16" i="7"/>
  <c r="AK16" i="7" s="1"/>
  <c r="AI17" i="7"/>
  <c r="AL16" i="7" l="1"/>
  <c r="AL17" i="7"/>
  <c r="AI18" i="7"/>
  <c r="AJ17" i="7"/>
  <c r="AK17" i="7" s="1"/>
  <c r="AL18" i="7" l="1"/>
  <c r="AJ18" i="7"/>
  <c r="AK18" i="7" s="1"/>
  <c r="AI19" i="7"/>
  <c r="AL19" i="7" l="1"/>
  <c r="AI20" i="7"/>
  <c r="AJ19" i="7"/>
  <c r="AK19" i="7" s="1"/>
  <c r="AL20" i="7" l="1"/>
  <c r="AJ20" i="7"/>
  <c r="AK20" i="7" s="1"/>
  <c r="AI21" i="7"/>
  <c r="AL21" i="7" l="1"/>
  <c r="AI22" i="7"/>
  <c r="AJ21" i="7"/>
  <c r="AK21" i="7" s="1"/>
  <c r="AL22" i="7" l="1"/>
  <c r="AJ22" i="7"/>
  <c r="AK22" i="7" s="1"/>
  <c r="AI23" i="7"/>
  <c r="AL23" i="7" l="1"/>
  <c r="AI24" i="7"/>
  <c r="AJ23" i="7"/>
  <c r="AK23" i="7" s="1"/>
  <c r="AL24" i="7" l="1"/>
  <c r="AJ24" i="7"/>
  <c r="AK24" i="7" s="1"/>
  <c r="AI25" i="7"/>
  <c r="AL25" i="7" l="1"/>
  <c r="AI26" i="7"/>
  <c r="AJ25" i="7"/>
  <c r="AK25" i="7" s="1"/>
  <c r="AL26" i="7" l="1"/>
  <c r="AJ26" i="7"/>
  <c r="AK26" i="7" s="1"/>
  <c r="AI27" i="7"/>
  <c r="AL27" i="7" l="1"/>
  <c r="AI28" i="7"/>
  <c r="AJ27" i="7"/>
  <c r="AK27" i="7" s="1"/>
  <c r="AL28" i="7" l="1"/>
  <c r="AJ28" i="7"/>
  <c r="AK28" i="7" s="1"/>
  <c r="AI29" i="7"/>
  <c r="AL29" i="7" l="1"/>
  <c r="AI30" i="7"/>
  <c r="AJ29" i="7"/>
  <c r="AK29" i="7" s="1"/>
  <c r="AL30" i="7" l="1"/>
  <c r="AJ30" i="7"/>
  <c r="AK30" i="7" s="1"/>
  <c r="AI31" i="7"/>
  <c r="AL31" i="7" l="1"/>
  <c r="AI32" i="7"/>
  <c r="AJ31" i="7"/>
  <c r="AK31" i="7" s="1"/>
  <c r="AL32" i="7" l="1"/>
  <c r="AJ32" i="7"/>
  <c r="AK32" i="7" s="1"/>
  <c r="AI33" i="7"/>
  <c r="AL33" i="7" l="1"/>
  <c r="AI34" i="7"/>
  <c r="AJ33" i="7"/>
  <c r="AK33" i="7" s="1"/>
  <c r="AL34" i="7" l="1"/>
  <c r="AJ34" i="7"/>
  <c r="AK34" i="7" s="1"/>
  <c r="AI35" i="7"/>
  <c r="AL35" i="7" l="1"/>
  <c r="AI36" i="7"/>
  <c r="AJ35" i="7"/>
  <c r="AK35" i="7" s="1"/>
  <c r="AL36" i="7" l="1"/>
  <c r="AJ36" i="7"/>
  <c r="AK36" i="7" s="1"/>
  <c r="AI37" i="7"/>
  <c r="AL37" i="7" l="1"/>
  <c r="AI38" i="7"/>
  <c r="AJ37" i="7"/>
  <c r="AK37" i="7" s="1"/>
  <c r="AL38" i="7" l="1"/>
  <c r="AJ38" i="7"/>
  <c r="AK38" i="7" s="1"/>
  <c r="AI39" i="7"/>
  <c r="AL39" i="7" l="1"/>
  <c r="AL5" i="7" s="1"/>
  <c r="AJ39" i="7"/>
  <c r="AK39" i="7"/>
  <c r="AL6" i="7" l="1"/>
  <c r="E21" i="7"/>
  <c r="AQ3" i="7"/>
  <c r="AO10" i="7"/>
  <c r="AP10" i="7" s="1"/>
  <c r="AQ10" i="7" l="1"/>
  <c r="AN11" i="7"/>
  <c r="G21" i="7"/>
  <c r="D11" i="12" s="1"/>
  <c r="I11" i="12" l="1"/>
  <c r="E11" i="12" s="1"/>
  <c r="AN12" i="7"/>
  <c r="AO11" i="7"/>
  <c r="AP11" i="7" s="1"/>
  <c r="F11" i="12" l="1"/>
  <c r="AQ11" i="7"/>
  <c r="AN13" i="7"/>
  <c r="AO12" i="7"/>
  <c r="AP12" i="7" s="1"/>
  <c r="AQ12" i="7" l="1"/>
  <c r="AN14" i="7"/>
  <c r="AO13" i="7"/>
  <c r="AP13" i="7" s="1"/>
  <c r="AQ13" i="7" l="1"/>
  <c r="AN15" i="7"/>
  <c r="AO14" i="7"/>
  <c r="AP14" i="7" s="1"/>
  <c r="AQ14" i="7" l="1"/>
  <c r="AN16" i="7"/>
  <c r="AO15" i="7"/>
  <c r="AP15" i="7" s="1"/>
  <c r="AQ15" i="7" l="1"/>
  <c r="AO16" i="7"/>
  <c r="AP16" i="7" s="1"/>
  <c r="AN17" i="7"/>
  <c r="AQ16" i="7" l="1"/>
  <c r="AN18" i="7"/>
  <c r="AO17" i="7"/>
  <c r="AP17" i="7" s="1"/>
  <c r="AQ17" i="7" l="1"/>
  <c r="AN19" i="7"/>
  <c r="AO18" i="7"/>
  <c r="AP18" i="7" s="1"/>
  <c r="AQ18" i="7" l="1"/>
  <c r="AN20" i="7"/>
  <c r="AO19" i="7"/>
  <c r="AP19" i="7" s="1"/>
  <c r="AQ19" i="7" l="1"/>
  <c r="AN21" i="7"/>
  <c r="AO20" i="7"/>
  <c r="AP20" i="7" s="1"/>
  <c r="AQ20" i="7" l="1"/>
  <c r="AN22" i="7"/>
  <c r="AO21" i="7"/>
  <c r="AP21" i="7" s="1"/>
  <c r="AQ21" i="7" l="1"/>
  <c r="AO22" i="7"/>
  <c r="AP22" i="7" s="1"/>
  <c r="AN23" i="7"/>
  <c r="AQ22" i="7" l="1"/>
  <c r="AN24" i="7"/>
  <c r="AO23" i="7"/>
  <c r="AP23" i="7" s="1"/>
  <c r="AQ23" i="7" l="1"/>
  <c r="AN25" i="7"/>
  <c r="AO24" i="7"/>
  <c r="AP24" i="7" s="1"/>
  <c r="AQ24" i="7" l="1"/>
  <c r="AN26" i="7"/>
  <c r="AO25" i="7"/>
  <c r="AP25" i="7" s="1"/>
  <c r="AQ25" i="7" l="1"/>
  <c r="AQ26" i="7"/>
  <c r="AO26" i="7"/>
  <c r="AP26" i="7" s="1"/>
  <c r="AN27" i="7"/>
  <c r="AQ27" i="7" l="1"/>
  <c r="AN28" i="7"/>
  <c r="AO27" i="7"/>
  <c r="AP27" i="7" s="1"/>
  <c r="AQ28" i="7" l="1"/>
  <c r="AN29" i="7"/>
  <c r="AO28" i="7"/>
  <c r="AP28" i="7" s="1"/>
  <c r="AQ29" i="7" l="1"/>
  <c r="AN30" i="7"/>
  <c r="AO29" i="7"/>
  <c r="AP29" i="7" s="1"/>
  <c r="AQ30" i="7" l="1"/>
  <c r="AO30" i="7"/>
  <c r="AP30" i="7" s="1"/>
  <c r="AN31" i="7"/>
  <c r="AQ31" i="7" l="1"/>
  <c r="AN32" i="7"/>
  <c r="AO31" i="7"/>
  <c r="AP31" i="7" s="1"/>
  <c r="AQ32" i="7" l="1"/>
  <c r="AN33" i="7"/>
  <c r="AO32" i="7"/>
  <c r="AP32" i="7" s="1"/>
  <c r="AQ33" i="7" l="1"/>
  <c r="AN34" i="7"/>
  <c r="AO33" i="7"/>
  <c r="AP33" i="7" s="1"/>
  <c r="AQ34" i="7" l="1"/>
  <c r="AN35" i="7"/>
  <c r="AO34" i="7"/>
  <c r="AP34" i="7" s="1"/>
  <c r="AQ35" i="7" l="1"/>
  <c r="AN36" i="7"/>
  <c r="AO35" i="7"/>
  <c r="AP35" i="7" s="1"/>
  <c r="AQ36" i="7" l="1"/>
  <c r="AO36" i="7"/>
  <c r="AP36" i="7" s="1"/>
  <c r="AN37" i="7"/>
  <c r="AQ37" i="7" l="1"/>
  <c r="AN38" i="7"/>
  <c r="AO37" i="7"/>
  <c r="AP37" i="7" s="1"/>
  <c r="AQ38" i="7" l="1"/>
  <c r="AN39" i="7"/>
  <c r="AO38" i="7"/>
  <c r="AP38" i="7" s="1"/>
  <c r="AQ39" i="7" l="1"/>
  <c r="AQ5" i="7" s="1"/>
  <c r="AP39" i="7"/>
  <c r="AO39" i="7"/>
  <c r="AV3" i="7" s="1"/>
  <c r="AS11" i="7" l="1"/>
  <c r="AT10" i="7"/>
  <c r="AQ6" i="7"/>
  <c r="E22" i="7"/>
  <c r="AU10" i="7" l="1"/>
  <c r="AV10" i="7" s="1"/>
  <c r="AS12" i="7"/>
  <c r="AT11" i="7"/>
  <c r="G22" i="7"/>
  <c r="D12" i="12" s="1"/>
  <c r="I12" i="12" l="1"/>
  <c r="E12" i="12" s="1"/>
  <c r="AU11" i="7"/>
  <c r="AV11" i="7" s="1"/>
  <c r="AS13" i="7"/>
  <c r="AT12" i="7"/>
  <c r="AU12" i="7" s="1"/>
  <c r="F12" i="12" l="1"/>
  <c r="AS14" i="7"/>
  <c r="AV12" i="7"/>
  <c r="AT13" i="7"/>
  <c r="AU13" i="7" l="1"/>
  <c r="AV13" i="7" s="1"/>
  <c r="AS15" i="7"/>
  <c r="AT14" i="7"/>
  <c r="AU14" i="7" s="1"/>
  <c r="AV15" i="7" l="1"/>
  <c r="AS16" i="7"/>
  <c r="AV14" i="7"/>
  <c r="AT15" i="7"/>
  <c r="AU15" i="7" s="1"/>
  <c r="AV16" i="7" l="1"/>
  <c r="AS17" i="7"/>
  <c r="AT16" i="7"/>
  <c r="AU16" i="7" s="1"/>
  <c r="AV17" i="7" l="1"/>
  <c r="AS18" i="7"/>
  <c r="AT17" i="7"/>
  <c r="AU17" i="7" s="1"/>
  <c r="AV18" i="7" l="1"/>
  <c r="AS19" i="7"/>
  <c r="AT18" i="7"/>
  <c r="AU18" i="7" s="1"/>
  <c r="AV19" i="7" l="1"/>
  <c r="AS20" i="7"/>
  <c r="AT19" i="7"/>
  <c r="AU19" i="7" s="1"/>
  <c r="AV20" i="7" l="1"/>
  <c r="AS21" i="7"/>
  <c r="AT20" i="7"/>
  <c r="AU20" i="7" s="1"/>
  <c r="AV21" i="7" l="1"/>
  <c r="AS22" i="7"/>
  <c r="AT21" i="7"/>
  <c r="AU21" i="7" s="1"/>
  <c r="AV22" i="7" l="1"/>
  <c r="AS23" i="7"/>
  <c r="AT22" i="7"/>
  <c r="AU22" i="7" s="1"/>
  <c r="AV23" i="7" l="1"/>
  <c r="AS24" i="7"/>
  <c r="AT23" i="7"/>
  <c r="AU23" i="7" s="1"/>
  <c r="AV24" i="7" l="1"/>
  <c r="AS25" i="7"/>
  <c r="AT24" i="7"/>
  <c r="AU24" i="7" s="1"/>
  <c r="AV25" i="7" l="1"/>
  <c r="AS26" i="7"/>
  <c r="AT25" i="7"/>
  <c r="AU25" i="7" s="1"/>
  <c r="AV26" i="7" l="1"/>
  <c r="AS27" i="7"/>
  <c r="AT26" i="7"/>
  <c r="AU26" i="7" s="1"/>
  <c r="AV27" i="7" l="1"/>
  <c r="AT27" i="7"/>
  <c r="AU27" i="7" s="1"/>
  <c r="AS28" i="7"/>
  <c r="AV28" i="7" l="1"/>
  <c r="AT28" i="7"/>
  <c r="AU28" i="7" s="1"/>
  <c r="AS29" i="7"/>
  <c r="AV29" i="7" l="1"/>
  <c r="AT29" i="7"/>
  <c r="AU29" i="7" s="1"/>
  <c r="AS30" i="7"/>
  <c r="AV30" i="7" l="1"/>
  <c r="AT30" i="7"/>
  <c r="AU30" i="7" s="1"/>
  <c r="AS31" i="7"/>
  <c r="AV31" i="7" l="1"/>
  <c r="AT31" i="7"/>
  <c r="AU31" i="7" s="1"/>
  <c r="AS32" i="7"/>
  <c r="AV32" i="7" l="1"/>
  <c r="AT32" i="7"/>
  <c r="AU32" i="7" s="1"/>
  <c r="AS33" i="7"/>
  <c r="AV33" i="7" l="1"/>
  <c r="AT33" i="7"/>
  <c r="AU33" i="7" s="1"/>
  <c r="AS34" i="7"/>
  <c r="AV34" i="7" l="1"/>
  <c r="AT34" i="7"/>
  <c r="AU34" i="7" s="1"/>
  <c r="AS35" i="7"/>
  <c r="AV35" i="7" l="1"/>
  <c r="AT35" i="7"/>
  <c r="AU35" i="7" s="1"/>
  <c r="AS36" i="7"/>
  <c r="AV36" i="7" l="1"/>
  <c r="AT36" i="7"/>
  <c r="AU36" i="7" s="1"/>
  <c r="AS37" i="7"/>
  <c r="AV37" i="7" l="1"/>
  <c r="AT37" i="7"/>
  <c r="AU37" i="7" s="1"/>
  <c r="AS38" i="7"/>
  <c r="AV38" i="7" l="1"/>
  <c r="AT38" i="7"/>
  <c r="AU38" i="7" s="1"/>
  <c r="AS39" i="7"/>
  <c r="AV39" i="7" l="1"/>
  <c r="AV5" i="7" s="1"/>
  <c r="AT39" i="7"/>
  <c r="BA3" i="7" s="1"/>
  <c r="AU39" i="7"/>
  <c r="AY10" i="7" l="1"/>
  <c r="AX11" i="7"/>
  <c r="AV6" i="7"/>
  <c r="G23" i="7" s="1"/>
  <c r="D13" i="12" s="1"/>
  <c r="E23" i="7"/>
  <c r="I13" i="12" l="1"/>
  <c r="E13" i="12" s="1"/>
  <c r="AZ10" i="7"/>
  <c r="BA10" i="7" s="1"/>
  <c r="AX12" i="7"/>
  <c r="AY11" i="7"/>
  <c r="F13" i="12" l="1"/>
  <c r="AZ11" i="7"/>
  <c r="BA11" i="7" s="1"/>
  <c r="AX13" i="7"/>
  <c r="AY12" i="7"/>
  <c r="AZ12" i="7" l="1"/>
  <c r="BA12" i="7" s="1"/>
  <c r="AX14" i="7"/>
  <c r="AY13" i="7"/>
  <c r="AZ13" i="7" l="1"/>
  <c r="BA13" i="7" s="1"/>
  <c r="AY14" i="7"/>
  <c r="AX15" i="7"/>
  <c r="AZ14" i="7" l="1"/>
  <c r="BA14" i="7" s="1"/>
  <c r="BA15" i="7"/>
  <c r="AY15" i="7"/>
  <c r="AZ15" i="7" s="1"/>
  <c r="AX16" i="7"/>
  <c r="BA16" i="7" l="1"/>
  <c r="AX17" i="7"/>
  <c r="AY16" i="7"/>
  <c r="AZ16" i="7" s="1"/>
  <c r="BA17" i="7" l="1"/>
  <c r="AX18" i="7"/>
  <c r="AY17" i="7"/>
  <c r="AZ17" i="7" s="1"/>
  <c r="BA18" i="7" l="1"/>
  <c r="AX19" i="7"/>
  <c r="AY18" i="7"/>
  <c r="AZ18" i="7" s="1"/>
  <c r="BA19" i="7" l="1"/>
  <c r="AX20" i="7"/>
  <c r="AY19" i="7"/>
  <c r="AZ19" i="7" s="1"/>
  <c r="BA20" i="7" l="1"/>
  <c r="AX21" i="7"/>
  <c r="AY20" i="7"/>
  <c r="AZ20" i="7" s="1"/>
  <c r="BA21" i="7" l="1"/>
  <c r="AY21" i="7"/>
  <c r="AZ21" i="7" s="1"/>
  <c r="AX22" i="7"/>
  <c r="BA22" i="7" l="1"/>
  <c r="AY22" i="7"/>
  <c r="AZ22" i="7" s="1"/>
  <c r="AX23" i="7"/>
  <c r="BA23" i="7" l="1"/>
  <c r="AX24" i="7"/>
  <c r="AY23" i="7"/>
  <c r="AZ23" i="7" s="1"/>
  <c r="BA24" i="7" l="1"/>
  <c r="AX25" i="7"/>
  <c r="AY24" i="7"/>
  <c r="AZ24" i="7" s="1"/>
  <c r="BA25" i="7" l="1"/>
  <c r="AX26" i="7"/>
  <c r="AY25" i="7"/>
  <c r="AZ25" i="7" s="1"/>
  <c r="BA26" i="7" l="1"/>
  <c r="AX27" i="7"/>
  <c r="AY26" i="7"/>
  <c r="AZ26" i="7" s="1"/>
  <c r="BA27" i="7" l="1"/>
  <c r="AY27" i="7"/>
  <c r="AZ27" i="7" s="1"/>
  <c r="AX28" i="7"/>
  <c r="BA28" i="7" l="1"/>
  <c r="AX29" i="7"/>
  <c r="AY28" i="7"/>
  <c r="AZ28" i="7" s="1"/>
  <c r="BA29" i="7" l="1"/>
  <c r="AY29" i="7"/>
  <c r="AZ29" i="7" s="1"/>
  <c r="AX30" i="7"/>
  <c r="BA30" i="7" l="1"/>
  <c r="AX31" i="7"/>
  <c r="AY30" i="7"/>
  <c r="AZ30" i="7" s="1"/>
  <c r="BA31" i="7" l="1"/>
  <c r="AY31" i="7"/>
  <c r="AZ31" i="7" s="1"/>
  <c r="AX32" i="7"/>
  <c r="BA32" i="7" l="1"/>
  <c r="AY32" i="7"/>
  <c r="AZ32" i="7" s="1"/>
  <c r="AX33" i="7"/>
  <c r="BA33" i="7" l="1"/>
  <c r="AY33" i="7"/>
  <c r="AZ33" i="7" s="1"/>
  <c r="AX34" i="7"/>
  <c r="BA34" i="7" l="1"/>
  <c r="AY34" i="7"/>
  <c r="AZ34" i="7" s="1"/>
  <c r="AX35" i="7"/>
  <c r="BA35" i="7" l="1"/>
  <c r="AY35" i="7"/>
  <c r="AZ35" i="7" s="1"/>
  <c r="AX36" i="7"/>
  <c r="BA36" i="7" l="1"/>
  <c r="AY36" i="7"/>
  <c r="AZ36" i="7" s="1"/>
  <c r="AX37" i="7"/>
  <c r="BA37" i="7" l="1"/>
  <c r="AY37" i="7"/>
  <c r="AZ37" i="7" s="1"/>
  <c r="AX38" i="7"/>
  <c r="AX39" i="7" l="1"/>
  <c r="BA38" i="7"/>
  <c r="AY38" i="7"/>
  <c r="AZ38" i="7" s="1"/>
  <c r="BA39" i="7" l="1"/>
  <c r="BA5" i="7" s="1"/>
  <c r="AY39" i="7"/>
  <c r="AZ39" i="7" s="1"/>
  <c r="BD10" i="7" l="1"/>
  <c r="BE10" i="7" s="1"/>
  <c r="BA6" i="7"/>
  <c r="G24" i="7" s="1"/>
  <c r="D14" i="12" s="1"/>
  <c r="E24" i="7"/>
  <c r="BF3" i="7"/>
  <c r="I14" i="12" l="1"/>
  <c r="E14" i="12" s="1"/>
  <c r="BC11" i="7"/>
  <c r="BF10" i="7"/>
  <c r="F14" i="12" l="1"/>
  <c r="BC12" i="7"/>
  <c r="BD11" i="7"/>
  <c r="BE11" i="7" l="1"/>
  <c r="BF11" i="7" s="1"/>
  <c r="BC13" i="7"/>
  <c r="BD12" i="7"/>
  <c r="BE12" i="7" l="1"/>
  <c r="BF12" i="7" s="1"/>
  <c r="BC14" i="7"/>
  <c r="BD13" i="7"/>
  <c r="BE13" i="7" l="1"/>
  <c r="BF13" i="7" s="1"/>
  <c r="BC15" i="7"/>
  <c r="BD14" i="7"/>
  <c r="BE14" i="7" l="1"/>
  <c r="BF14" i="7" s="1"/>
  <c r="BF15" i="7"/>
  <c r="BD15" i="7"/>
  <c r="BE15" i="7" s="1"/>
  <c r="BC16" i="7"/>
  <c r="BF16" i="7" l="1"/>
  <c r="BD16" i="7"/>
  <c r="BE16" i="7" s="1"/>
  <c r="BC17" i="7"/>
  <c r="BF17" i="7" l="1"/>
  <c r="BC18" i="7"/>
  <c r="BD17" i="7"/>
  <c r="BE17" i="7" s="1"/>
  <c r="BF18" i="7" l="1"/>
  <c r="BD18" i="7"/>
  <c r="BE18" i="7" s="1"/>
  <c r="BC19" i="7"/>
  <c r="BF19" i="7" l="1"/>
  <c r="BD19" i="7"/>
  <c r="BE19" i="7" s="1"/>
  <c r="BC20" i="7"/>
  <c r="BF20" i="7" l="1"/>
  <c r="BD20" i="7"/>
  <c r="BE20" i="7" s="1"/>
  <c r="BC21" i="7"/>
  <c r="BF21" i="7" l="1"/>
  <c r="BD21" i="7"/>
  <c r="BE21" i="7" s="1"/>
  <c r="BC22" i="7"/>
  <c r="BF22" i="7" l="1"/>
  <c r="BD22" i="7"/>
  <c r="BE22" i="7" s="1"/>
  <c r="BC23" i="7"/>
  <c r="BF23" i="7" l="1"/>
  <c r="BD23" i="7"/>
  <c r="BE23" i="7" s="1"/>
  <c r="BC24" i="7"/>
  <c r="BF24" i="7" l="1"/>
  <c r="BD24" i="7"/>
  <c r="BE24" i="7" s="1"/>
  <c r="BC25" i="7"/>
  <c r="BF25" i="7" l="1"/>
  <c r="BD25" i="7"/>
  <c r="BE25" i="7" s="1"/>
  <c r="BC26" i="7"/>
  <c r="BF26" i="7" l="1"/>
  <c r="BD26" i="7"/>
  <c r="BE26" i="7" s="1"/>
  <c r="BC27" i="7"/>
  <c r="BF27" i="7" l="1"/>
  <c r="BD27" i="7"/>
  <c r="BE27" i="7" s="1"/>
  <c r="BC28" i="7"/>
  <c r="BF28" i="7" l="1"/>
  <c r="BD28" i="7"/>
  <c r="BE28" i="7" s="1"/>
  <c r="BC29" i="7"/>
  <c r="BF29" i="7" l="1"/>
  <c r="BD29" i="7"/>
  <c r="BE29" i="7" s="1"/>
  <c r="BC30" i="7"/>
  <c r="BF30" i="7" l="1"/>
  <c r="BD30" i="7"/>
  <c r="BE30" i="7" s="1"/>
  <c r="BC31" i="7"/>
  <c r="BF31" i="7" l="1"/>
  <c r="BD31" i="7"/>
  <c r="BE31" i="7" s="1"/>
  <c r="BC32" i="7"/>
  <c r="BF32" i="7" l="1"/>
  <c r="BD32" i="7"/>
  <c r="BE32" i="7" s="1"/>
  <c r="BC33" i="7"/>
  <c r="BF33" i="7" l="1"/>
  <c r="BD33" i="7"/>
  <c r="BE33" i="7" s="1"/>
  <c r="BC34" i="7"/>
  <c r="BF34" i="7" l="1"/>
  <c r="BD34" i="7"/>
  <c r="BE34" i="7" s="1"/>
  <c r="BC35" i="7"/>
  <c r="BF35" i="7" l="1"/>
  <c r="BD35" i="7"/>
  <c r="BE35" i="7" s="1"/>
  <c r="BC36" i="7"/>
  <c r="BF36" i="7" l="1"/>
  <c r="BD36" i="7"/>
  <c r="BE36" i="7" s="1"/>
  <c r="BC37" i="7"/>
  <c r="BF37" i="7" l="1"/>
  <c r="BD37" i="7"/>
  <c r="BE37" i="7" s="1"/>
  <c r="BC38" i="7"/>
  <c r="BF38" i="7" l="1"/>
  <c r="BD38" i="7"/>
  <c r="BE38" i="7" s="1"/>
  <c r="BC39" i="7"/>
  <c r="BF39" i="7" l="1"/>
  <c r="BF5" i="7" s="1"/>
  <c r="BD39" i="7"/>
  <c r="BI10" i="7"/>
  <c r="BJ10" i="7" s="1"/>
  <c r="BE39" i="7" l="1"/>
  <c r="BK3" i="7"/>
  <c r="BF6" i="7"/>
  <c r="G25" i="7" s="1"/>
  <c r="D15" i="12" s="1"/>
  <c r="E25" i="7"/>
  <c r="I15" i="12" l="1"/>
  <c r="F15" i="12" s="1"/>
  <c r="BH11" i="7"/>
  <c r="BK10" i="7"/>
  <c r="E15" i="12" l="1"/>
  <c r="BH12" i="7"/>
  <c r="BI11" i="7"/>
  <c r="BJ11" i="7" l="1"/>
  <c r="BK11" i="7" s="1"/>
  <c r="BI12" i="7"/>
  <c r="BH13" i="7"/>
  <c r="BJ12" i="7" l="1"/>
  <c r="BK12" i="7" s="1"/>
  <c r="BI13" i="7"/>
  <c r="BH14" i="7"/>
  <c r="BK13" i="7" l="1"/>
  <c r="BJ13" i="7"/>
  <c r="BH15" i="7"/>
  <c r="BI14" i="7"/>
  <c r="BK14" i="7" l="1"/>
  <c r="BJ14" i="7"/>
  <c r="BH16" i="7"/>
  <c r="BI15" i="7"/>
  <c r="BK15" i="7" l="1"/>
  <c r="BJ15" i="7"/>
  <c r="BI16" i="7"/>
  <c r="BH17" i="7"/>
  <c r="BK16" i="7" l="1"/>
  <c r="BJ16" i="7"/>
  <c r="BH18" i="7"/>
  <c r="BI17" i="7"/>
  <c r="BK17" i="7" l="1"/>
  <c r="BJ17" i="7"/>
  <c r="BI18" i="7"/>
  <c r="BH19" i="7"/>
  <c r="BK18" i="7" l="1"/>
  <c r="BJ18" i="7"/>
  <c r="BK19" i="7"/>
  <c r="BI19" i="7"/>
  <c r="BJ19" i="7" s="1"/>
  <c r="BH20" i="7"/>
  <c r="BK20" i="7" l="1"/>
  <c r="BI20" i="7"/>
  <c r="BJ20" i="7" s="1"/>
  <c r="BH21" i="7"/>
  <c r="BK21" i="7" l="1"/>
  <c r="BI21" i="7"/>
  <c r="BJ21" i="7" s="1"/>
  <c r="BH22" i="7"/>
  <c r="BK22" i="7" l="1"/>
  <c r="BI22" i="7"/>
  <c r="BJ22" i="7" s="1"/>
  <c r="BH23" i="7"/>
  <c r="BK23" i="7" l="1"/>
  <c r="BI23" i="7"/>
  <c r="BJ23" i="7" s="1"/>
  <c r="BH24" i="7"/>
  <c r="BK24" i="7" l="1"/>
  <c r="BI24" i="7"/>
  <c r="BJ24" i="7" s="1"/>
  <c r="BH25" i="7"/>
  <c r="BK25" i="7" l="1"/>
  <c r="BI25" i="7"/>
  <c r="BJ25" i="7" s="1"/>
  <c r="BH26" i="7"/>
  <c r="BK26" i="7" l="1"/>
  <c r="BI26" i="7"/>
  <c r="BJ26" i="7" s="1"/>
  <c r="BH27" i="7"/>
  <c r="BK27" i="7" l="1"/>
  <c r="BI27" i="7"/>
  <c r="BJ27" i="7" s="1"/>
  <c r="BH28" i="7"/>
  <c r="BK28" i="7" l="1"/>
  <c r="BI28" i="7"/>
  <c r="BJ28" i="7" s="1"/>
  <c r="BH29" i="7"/>
  <c r="BK29" i="7" l="1"/>
  <c r="BI29" i="7"/>
  <c r="BJ29" i="7" s="1"/>
  <c r="BH30" i="7"/>
  <c r="BK30" i="7" l="1"/>
  <c r="BI30" i="7"/>
  <c r="BJ30" i="7" s="1"/>
  <c r="BH31" i="7"/>
  <c r="BK31" i="7" l="1"/>
  <c r="BI31" i="7"/>
  <c r="BJ31" i="7" s="1"/>
  <c r="BH32" i="7"/>
  <c r="BK32" i="7" l="1"/>
  <c r="BI32" i="7"/>
  <c r="BJ32" i="7" s="1"/>
  <c r="BH33" i="7"/>
  <c r="BK33" i="7" l="1"/>
  <c r="BI33" i="7"/>
  <c r="BJ33" i="7" s="1"/>
  <c r="BH34" i="7"/>
  <c r="BK34" i="7" l="1"/>
  <c r="BI34" i="7"/>
  <c r="BJ34" i="7" s="1"/>
  <c r="BH35" i="7"/>
  <c r="BK35" i="7" l="1"/>
  <c r="BI35" i="7"/>
  <c r="BJ35" i="7" s="1"/>
  <c r="BH36" i="7"/>
  <c r="B36" i="9"/>
  <c r="BK36" i="7" l="1"/>
  <c r="BI36" i="7"/>
  <c r="BJ36" i="7" s="1"/>
  <c r="BH37" i="7"/>
  <c r="B46" i="9"/>
  <c r="BK37" i="7" l="1"/>
  <c r="BI37" i="7"/>
  <c r="BJ37" i="7" s="1"/>
  <c r="BH38" i="7"/>
  <c r="B58" i="9"/>
  <c r="BK38" i="7" l="1"/>
  <c r="BI38" i="7"/>
  <c r="BJ38" i="7" s="1"/>
  <c r="BH39" i="7"/>
  <c r="BK39" i="7" l="1"/>
  <c r="BK5" i="7" s="1"/>
  <c r="BI39" i="7"/>
  <c r="BJ39" i="7" s="1"/>
  <c r="E26" i="7" l="1"/>
  <c r="BK6" i="7"/>
  <c r="G26" i="7" s="1"/>
  <c r="G27" i="7" l="1"/>
  <c r="F9" i="7" s="1"/>
  <c r="B19" i="9" s="1"/>
  <c r="B37" i="9" s="1"/>
  <c r="B47" i="9" s="1"/>
  <c r="D16" i="12"/>
  <c r="B20" i="9" l="1"/>
  <c r="I16" i="12"/>
  <c r="E16" i="12" s="1"/>
  <c r="B53" i="9"/>
  <c r="C53" i="9" s="1"/>
  <c r="B52" i="9"/>
  <c r="C52" i="9" s="1"/>
  <c r="B51" i="9"/>
  <c r="C51" i="9" s="1"/>
  <c r="B48" i="9"/>
  <c r="F16" i="12" l="1"/>
  <c r="C5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srinivesh</author>
    <author>Srinivasan, S R (srs @ MCOU/HPS)</author>
  </authors>
  <commentList>
    <comment ref="C7" authorId="0" shapeId="0" xr:uid="{9B0AA6B9-5E08-44F6-8E81-4B8C18DD4FC4}">
      <text>
        <r>
          <rPr>
            <sz val="9"/>
            <color indexed="81"/>
            <rFont val="Tahoma"/>
            <family val="2"/>
          </rPr>
          <t>Comment from author
Formula: Look up the expenses for the
 year from the Goal planner table for child 1</t>
        </r>
      </text>
    </comment>
    <comment ref="F7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Comment from author
Formula: Look up the expenses for the
 year from the Goal planner table for child 2
</t>
        </r>
      </text>
    </comment>
    <comment ref="I7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Formula: If previous year is non-zero, multiply that by inflation rate; else if yrs to go indicates first retirement year, fill the value for retirement_inputs sheet
</t>
        </r>
      </text>
    </comment>
    <comment ref="J7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Comment from author
Formula: Sum up the expenses for the year from the Goal planner table for other expenses
</t>
        </r>
      </text>
    </comment>
    <comment ref="M7" authorId="1" shapeId="0" xr:uid="{00000000-0006-0000-0300-000005000000}">
      <text>
        <r>
          <rPr>
            <sz val="9"/>
            <color indexed="81"/>
            <rFont val="Tahoma"/>
            <family val="2"/>
          </rPr>
          <t>Formula: If year is during the retirement phase, sum up all expenses; else amount is zero</t>
        </r>
      </text>
    </comment>
  </commentList>
</comments>
</file>

<file path=xl/sharedStrings.xml><?xml version="1.0" encoding="utf-8"?>
<sst xmlns="http://schemas.openxmlformats.org/spreadsheetml/2006/main" count="427" uniqueCount="256">
  <si>
    <t>Annual</t>
  </si>
  <si>
    <t>Expenses</t>
  </si>
  <si>
    <t>inflation prior goal due date</t>
  </si>
  <si>
    <t>Years</t>
  </si>
  <si>
    <t>Current annual expenses OR current cost</t>
  </si>
  <si>
    <t>required</t>
  </si>
  <si>
    <t>investment</t>
  </si>
  <si>
    <t>Time to goal (retirement or others)*</t>
  </si>
  <si>
    <t>* Choose zero if requirement is immediate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</si>
  <si>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</si>
  <si>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</si>
  <si>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</si>
  <si>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</si>
  <si>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</si>
  <si>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</si>
  <si>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</si>
  <si>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</si>
  <si>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</si>
  <si>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</si>
  <si>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</si>
  <si>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</si>
  <si>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</si>
  <si>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</si>
  <si>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</si>
  <si>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</si>
  <si>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</si>
  <si>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</si>
  <si>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</si>
  <si>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</si>
  <si>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</si>
  <si>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</si>
  <si>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</si>
  <si>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</si>
  <si>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</si>
  <si>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</si>
  <si>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</si>
  <si>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</si>
  <si>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</si>
  <si>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</si>
  <si>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</si>
  <si>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</si>
  <si>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</si>
  <si>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</si>
  <si>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</si>
  <si>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</si>
  <si>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</si>
  <si>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</si>
  <si>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</si>
  <si>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</si>
  <si>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</si>
  <si>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within each bucket.</t>
  </si>
  <si>
    <r>
      <t>the</t>
    </r>
    <r>
      <rPr>
        <b/>
        <sz val="11"/>
        <color rgb="FFFF0000"/>
        <rFont val="Calibri"/>
        <family val="2"/>
        <scheme val="minor"/>
      </rPr>
      <t xml:space="preserve"> corpus reqd </t>
    </r>
    <r>
      <rPr>
        <sz val="11"/>
        <color theme="1"/>
        <rFont val="Calibri"/>
        <family val="2"/>
        <scheme val="minor"/>
      </rPr>
      <t>to</t>
    </r>
  </si>
  <si>
    <r>
      <t xml:space="preserve">the </t>
    </r>
    <r>
      <rPr>
        <b/>
        <sz val="11"/>
        <color rgb="FF0033CC"/>
        <rFont val="Calibri"/>
        <family val="2"/>
        <scheme val="minor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</si>
  <si>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</si>
  <si>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</si>
  <si>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</si>
  <si>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Total average monthly expenses (annual/12)</t>
  </si>
  <si>
    <t>Inflation before retirement</t>
  </si>
  <si>
    <t>Not less than 8%.</t>
  </si>
  <si>
    <t>Current age</t>
  </si>
  <si>
    <t>No of years you expect to live!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</si>
  <si>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</si>
  <si>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</si>
  <si>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t xml:space="preserve">This is how long you need to be financially independent </t>
  </si>
  <si>
    <t>Inflation during retirement</t>
  </si>
  <si>
    <t>Again not less than 8%. Nothing will change in India in the future!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</si>
  <si>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expected from retirement corpus</t>
    </r>
  </si>
  <si>
    <t>Post-tax Rate of return expected from  equity investments</t>
  </si>
  <si>
    <t>Post-rax Rate of return expected from current taxable debt holdings</t>
  </si>
  <si>
    <t>Recommended 6% (post-tax FD return for highest tax slab)</t>
  </si>
  <si>
    <t>Rate of return expected from current tax-free debt holdings</t>
  </si>
  <si>
    <t>Present Value of investments</t>
  </si>
  <si>
    <t>Estimated Value at the time of retirement</t>
  </si>
  <si>
    <t>Value of current equity invesments</t>
  </si>
  <si>
    <t>Value of current taxable debt investments (FD, debt fund etc.)</t>
  </si>
  <si>
    <t>Value of current tax-free debt investments (EPF+PPF)</t>
  </si>
  <si>
    <t>Lump sum expected at the time of retirement (gratuity, benefits, insurance maturity etc.)</t>
  </si>
  <si>
    <t>Current monthly mandatory EPF contribution</t>
  </si>
  <si>
    <t>Annual increase in this contribution (be realistic)</t>
  </si>
  <si>
    <t>Future EPF contributions will grow to</t>
  </si>
  <si>
    <t>Expected rate of return for EPF or NPS</t>
  </si>
  <si>
    <t>Notice the reduction.</t>
  </si>
  <si>
    <t>You will need to invest some amount each month to attain this corpus</t>
  </si>
  <si>
    <t>What percentage of this monthly investment would you:</t>
  </si>
  <si>
    <t>1) allocate to equity</t>
  </si>
  <si>
    <t>Max. recommended 70% no matter how far retirement is</t>
  </si>
  <si>
    <t>2) allocate to taxable debt instruments</t>
  </si>
  <si>
    <t>3) allocate to tax-free debt instruments</t>
  </si>
  <si>
    <t>Annual increase in total monthly investment</t>
  </si>
  <si>
    <t>Decide depending on future annual income excluding bonuses</t>
  </si>
  <si>
    <t>Net rate of return (this is an approximation)</t>
  </si>
  <si>
    <t>Future investments are assumed to begin simultaneously</t>
  </si>
  <si>
    <t>Future value if invested as per investment schedule</t>
  </si>
  <si>
    <t>Equity</t>
  </si>
  <si>
    <t>Taxable Debt</t>
  </si>
  <si>
    <t>Corpus back calculation from total monthly investments (for excel enthusiasts only!)</t>
  </si>
  <si>
    <t>inflation after retirement</t>
  </si>
  <si>
    <t>Suggest you do not change the values in yellow cells</t>
  </si>
  <si>
    <t>In this case the money will grow in buckets of varying risk-reward profiles.</t>
  </si>
  <si>
    <t xml:space="preserve">This is the output of conventional retirement calculators </t>
  </si>
  <si>
    <t>Total Corpus required if the bucket strategy is used</t>
  </si>
  <si>
    <t>Net Corpus to be accumulated with bucket strategy</t>
  </si>
  <si>
    <t>Monthly investment required with bucket strategy</t>
  </si>
  <si>
    <t>The total future value will be a little more than the corpus required (B36). Ignore this!</t>
  </si>
  <si>
    <t>Monthly investment required with constant post-retirement return</t>
  </si>
  <si>
    <t>Net Corpus to be accumulated with constant  post-retirement return</t>
  </si>
  <si>
    <t>Total Corpus required with constant post retirement return</t>
  </si>
  <si>
    <t>Stress reduction =</t>
  </si>
  <si>
    <t>This is only for the constant post-retirement return</t>
  </si>
  <si>
    <t>Goal planner for first Child</t>
  </si>
  <si>
    <t>Education and Marriage planner for first child</t>
  </si>
  <si>
    <t>Enter data only in green cells</t>
  </si>
  <si>
    <t>Undergraduate Education 4-5 years</t>
  </si>
  <si>
    <t>Postgraduation</t>
  </si>
  <si>
    <t>Marriage</t>
  </si>
  <si>
    <t>Enter age of entry into  UG degree</t>
  </si>
  <si>
    <t xml:space="preserve">Enter age of entry </t>
  </si>
  <si>
    <t>1st Year</t>
  </si>
  <si>
    <t>2nd Year</t>
  </si>
  <si>
    <t>3rd Year</t>
  </si>
  <si>
    <t>4th Year</t>
  </si>
  <si>
    <t>At age</t>
  </si>
  <si>
    <t>Age</t>
  </si>
  <si>
    <t>Years to goal</t>
  </si>
  <si>
    <t>years before goal when</t>
  </si>
  <si>
    <t>equity investing stops</t>
  </si>
  <si>
    <t>max equity investing years</t>
  </si>
  <si>
    <t>Present cost</t>
  </si>
  <si>
    <t>inflation</t>
  </si>
  <si>
    <t>Net Roi</t>
  </si>
  <si>
    <t>Futire Cost</t>
  </si>
  <si>
    <t>Amt invested so far</t>
  </si>
  <si>
    <t>RoI of current invest.</t>
  </si>
  <si>
    <t>Future value of curr. Inv.</t>
  </si>
  <si>
    <t>Annual inc. in monthly invest. %</t>
  </si>
  <si>
    <t>initial mon. invest. reqd.</t>
  </si>
  <si>
    <t>postpone investment (years)</t>
  </si>
  <si>
    <t xml:space="preserve"> if postponed, pm invest.</t>
  </si>
  <si>
    <t>Goal planner for second Child</t>
  </si>
  <si>
    <t>Education and Marriage planner for second child</t>
  </si>
  <si>
    <t xml:space="preserve">Current year </t>
  </si>
  <si>
    <t>Cal Year</t>
  </si>
  <si>
    <t>Yrs to go</t>
  </si>
  <si>
    <t>Other goals</t>
  </si>
  <si>
    <t>Desc</t>
  </si>
  <si>
    <t>Goal planner for other goals</t>
  </si>
  <si>
    <t>Year</t>
  </si>
  <si>
    <t>Periodic Large Expenses</t>
  </si>
  <si>
    <t>Include in plan</t>
  </si>
  <si>
    <t>Y</t>
  </si>
  <si>
    <t>Car</t>
  </si>
  <si>
    <t>Vacation</t>
  </si>
  <si>
    <t>Function</t>
  </si>
  <si>
    <t>Expense Head</t>
  </si>
  <si>
    <t>Current Year</t>
  </si>
  <si>
    <t>Desc2</t>
  </si>
  <si>
    <t>Desc4</t>
  </si>
  <si>
    <t>Fill</t>
  </si>
  <si>
    <t>Fill2</t>
  </si>
  <si>
    <t>Total Cash Required</t>
  </si>
  <si>
    <t>BUCKET 7</t>
  </si>
  <si>
    <t>BUCKET 8</t>
  </si>
  <si>
    <t xml:space="preserve">School </t>
  </si>
  <si>
    <t>BUCKET 9</t>
  </si>
  <si>
    <t>BUCKET 10</t>
  </si>
  <si>
    <t>Age you wish to retire (&lt;10 years from now)</t>
  </si>
  <si>
    <t xml:space="preserve">a return will entail risk which may might wipe our the lump sum. So caution is advised.
</t>
  </si>
  <si>
    <t>Your estimate for the living expenses, at current cost.  Use the goal planner sheet to enter all other goals.</t>
  </si>
  <si>
    <r>
      <t xml:space="preserve">Check out 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</si>
  <si>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t>Ignore rows 14-20 if you are using the retirement calculator</t>
  </si>
  <si>
    <t>Ignore rows 36-42 if you are using the retirement calculator</t>
  </si>
  <si>
    <t>Planner for other goals</t>
  </si>
  <si>
    <t>The values below are used for building the corpus. See the income ladder sheet for returns during retirement.</t>
  </si>
  <si>
    <t>Income needed (for living expenses) in first year of goal</t>
  </si>
  <si>
    <t>The Low-stess Early Retirement Calculator (hopefully!) - Consolidated Version</t>
  </si>
  <si>
    <t>Consolidated =&gt; Retirement, Children related goals, Other goals</t>
  </si>
  <si>
    <t>Current Value at constant return</t>
  </si>
  <si>
    <t>NOTE: In this version of the calculator, bucket 0</t>
  </si>
  <si>
    <t>Note: If this is not less than inflation, you may not need this calculator</t>
  </si>
  <si>
    <t>Child 1</t>
  </si>
  <si>
    <t>Child 2</t>
  </si>
  <si>
    <t>(this flag is not used currently)</t>
  </si>
  <si>
    <t>Future Cost</t>
  </si>
  <si>
    <t>(if you need more than 15 entries, please extend the table accordingly)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</si>
  <si>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</t>
    </r>
  </si>
  <si>
    <t>Return expected when you invest your retirement corpus in a single bucket</t>
  </si>
  <si>
    <t>TODO:  Provide a bridge between these and the retirement bucket strategy simulator</t>
  </si>
  <si>
    <t>https://freefincal.com/play-post-retirement-income-simulation-game/</t>
  </si>
  <si>
    <t>Expected yrly inc</t>
  </si>
  <si>
    <t>Rental income</t>
  </si>
  <si>
    <t>Pension from EPS</t>
  </si>
  <si>
    <t>Superannuation Annuity</t>
  </si>
  <si>
    <t>Post-retirement Income sources
(Include rental income and other mandated payments)</t>
  </si>
  <si>
    <t>Yearly Income from other sources</t>
  </si>
  <si>
    <t>offset</t>
  </si>
  <si>
    <t>In this sheet you can divide a given period over which you need inflation protected income into 11 buckets. For a give rate of return of each bucket</t>
  </si>
  <si>
    <t>the other sheet.</t>
  </si>
  <si>
    <t>Living Expense</t>
  </si>
  <si>
    <t>This sheet is derived from the open source calculators from freefincal.com</t>
  </si>
  <si>
    <t>Subjective Stress Reducer!</t>
  </si>
  <si>
    <t>Invest Bucket</t>
  </si>
  <si>
    <t>For corpus in Period</t>
  </si>
  <si>
    <t>Asset Type</t>
  </si>
  <si>
    <t>Amount to be invested</t>
  </si>
  <si>
    <t>Exp Return</t>
  </si>
  <si>
    <t>Cumulative</t>
  </si>
  <si>
    <t>Feasibility with current corpus+Future EPF</t>
  </si>
  <si>
    <t>If you get 4 or more ticks in column F, you can consider the plunge of 'early retirement'….</t>
  </si>
  <si>
    <t>Feasibility with current corpus</t>
  </si>
  <si>
    <t>Recommend 10%. Set this higher and your stress will increase!</t>
  </si>
  <si>
    <t>Recommended 8% or less</t>
  </si>
  <si>
    <t>FDs, Overnight</t>
  </si>
  <si>
    <t>If you expect income from other sources In retirement, please use row 72 in Planner sheet</t>
  </si>
  <si>
    <r>
      <t xml:space="preserve">That is life expectancy of younger spouse. </t>
    </r>
    <r>
      <rPr>
        <b/>
        <i/>
        <sz val="11"/>
        <color theme="1"/>
        <rFont val="Calibri"/>
        <family val="2"/>
        <scheme val="minor"/>
      </rPr>
      <t>Do not underestimate!</t>
    </r>
  </si>
  <si>
    <t>Include employee and employer contributions</t>
  </si>
  <si>
    <r>
      <t xml:space="preserve">Post-tax Rate of return </t>
    </r>
    <r>
      <rPr>
        <sz val="12"/>
        <color indexed="8"/>
        <rFont val="Calibri"/>
        <family val="2"/>
      </rPr>
      <t>(to be used for current and future investments)</t>
    </r>
  </si>
  <si>
    <t xml:space="preserve">The corpus requirement has reduced by </t>
  </si>
  <si>
    <t>With Bucket strategy, allocate  Initial Monthly investment as below:</t>
  </si>
  <si>
    <t>This version has modifications from S R Srinivasan (info@srinivesh.in)</t>
  </si>
  <si>
    <t>This workbook is derived from the open source calculators from freefincal.com</t>
  </si>
  <si>
    <r>
      <rPr>
        <b/>
        <sz val="11"/>
        <color rgb="FF0070C0"/>
        <rFont val="Calibri"/>
        <family val="2"/>
        <scheme val="minor"/>
      </rPr>
      <t>Step 1: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till row 16 in Retirement_Inputs sheet</t>
    </r>
  </si>
  <si>
    <t>Click here</t>
  </si>
  <si>
    <t>For sporadic income, e.g insurance policies, use -ve values and set inflation to zero</t>
  </si>
  <si>
    <t>Endownment policy</t>
  </si>
  <si>
    <r>
      <rPr>
        <b/>
        <sz val="11"/>
        <color rgb="FF0070C0"/>
        <rFont val="Calibri"/>
        <family val="2"/>
        <scheme val="minor"/>
      </rPr>
      <t>Step 2: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for goals for Child 1</t>
    </r>
  </si>
  <si>
    <r>
      <rPr>
        <b/>
        <sz val="11"/>
        <color rgb="FF0070C0"/>
        <rFont val="Calibri"/>
        <family val="2"/>
        <scheme val="minor"/>
      </rPr>
      <t>Step 2b: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for goals for Child 2</t>
    </r>
  </si>
  <si>
    <r>
      <rPr>
        <b/>
        <sz val="11"/>
        <color rgb="FF0070C0"/>
        <rFont val="Calibri"/>
        <family val="2"/>
        <scheme val="minor"/>
      </rPr>
      <t>Step 3: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for all other expenses (non-recurring) and income sources</t>
    </r>
  </si>
  <si>
    <r>
      <rPr>
        <b/>
        <sz val="11"/>
        <color rgb="FF0070C0"/>
        <rFont val="Calibri"/>
        <family val="2"/>
        <scheme val="minor"/>
      </rPr>
      <t>Step 4: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from rows 22  in Retirement_Inputs sheet</t>
    </r>
  </si>
  <si>
    <r>
      <rPr>
        <b/>
        <sz val="11"/>
        <color rgb="FF0070C0"/>
        <rFont val="Calibri"/>
        <family val="2"/>
        <scheme val="minor"/>
      </rPr>
      <t>Step 5: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Review the corpus and investment calculations in  Retirement_Inputs sheet</t>
    </r>
  </si>
  <si>
    <r>
      <rPr>
        <b/>
        <sz val="11"/>
        <color rgb="FF0070C0"/>
        <rFont val="Calibri"/>
        <family val="2"/>
        <scheme val="minor"/>
      </rPr>
      <t>Step 6: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Review the data, and the number of ticks in Stress sheet</t>
    </r>
  </si>
  <si>
    <r>
      <rPr>
        <b/>
        <sz val="11"/>
        <color rgb="FF0070C0"/>
        <rFont val="Calibri"/>
        <family val="2"/>
        <scheme val="minor"/>
      </rPr>
      <t>Step 7: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Start making the investments, implement the plan</t>
    </r>
  </si>
  <si>
    <t>Optional: Review the other sheets for calculations</t>
  </si>
  <si>
    <t>Tax-free Debt (excludes EPF)</t>
  </si>
  <si>
    <t>Note: You can withdraw entire PF amount after 2 months of no employment</t>
  </si>
  <si>
    <t>Note: Ensure that you include the entire current balance</t>
  </si>
  <si>
    <t>This is a conservative estimate. Recent inflation trend has been downward, but it helps to conservative.</t>
  </si>
  <si>
    <t>The calculator has a default setting of 55 for  cells B11+B14</t>
  </si>
  <si>
    <t>Do not change the inputs in this sheet unless you are very sure</t>
  </si>
  <si>
    <r>
      <rPr>
        <b/>
        <sz val="11"/>
        <color theme="1"/>
        <rFont val="Calibri"/>
        <family val="2"/>
        <scheme val="minor"/>
      </rPr>
      <t>Starting now</t>
    </r>
    <r>
      <rPr>
        <sz val="11"/>
        <color theme="1"/>
        <rFont val="Calibri"/>
        <family val="2"/>
        <scheme val="minor"/>
      </rPr>
      <t>, distribute your available corpus in the above buckets, and fill the earlier buckets first</t>
    </r>
  </si>
  <si>
    <t>Then, during retirement, periodically redistribute the buckets, e.g move debt fund corpus to FD, etc.</t>
  </si>
  <si>
    <t>Ver 3.2 - credits to reddit user caffeinewasmylife</t>
  </si>
  <si>
    <t>This calculator may not apply if you are below 30</t>
  </si>
  <si>
    <r>
      <t xml:space="preserve">starts from </t>
    </r>
    <r>
      <rPr>
        <b/>
        <sz val="11"/>
        <color theme="1"/>
        <rFont val="Calibri"/>
        <family val="2"/>
        <scheme val="minor"/>
      </rPr>
      <t>NOW</t>
    </r>
    <r>
      <rPr>
        <sz val="11"/>
        <color theme="1"/>
        <rFont val="Calibri"/>
        <family val="2"/>
        <scheme val="minor"/>
      </rPr>
      <t xml:space="preserve">.  This makes the calculator less useful </t>
    </r>
  </si>
  <si>
    <t>if your planned retirment is &gt;10 years away</t>
  </si>
  <si>
    <t>Ver 3.1 - first published version - Dec 2018</t>
  </si>
  <si>
    <t>Note: The design  of the buckets is optimal If you want to retire in &lt;10 years. The number of buckets is optimized for ages 35 and more.</t>
  </si>
  <si>
    <t>(Note: the calculations are more accurate if you are &lt; 10 years away from retirement)</t>
  </si>
  <si>
    <t>Monthly Income in first year</t>
  </si>
  <si>
    <t>End year (leave bank if no end date)</t>
  </si>
  <si>
    <t>Other annuity</t>
  </si>
  <si>
    <t>Income from other sources</t>
  </si>
  <si>
    <t>Start year (leave blank if before or with retirement)</t>
  </si>
  <si>
    <t>Actual start</t>
  </si>
  <si>
    <t>Actual end</t>
  </si>
  <si>
    <t>Ver 3.3 - Added additional controls for passive income</t>
  </si>
  <si>
    <t>Bucket Strategy Calculator - Early Retirement Scenario       ver 3.3;  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</si>
</sst>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&quot;Rs.&quot;\ #,##0.00;[Red]&quot;Rs.&quot;\ \-#,##0.00"/>
    <numFmt numFmtId="166" formatCode="0.0%"/>
    <numFmt numFmtId="167" formatCode="0.000%"/>
    <numFmt numFmtId="168" formatCode="[$₹-4009]\ #,##0"/>
    <numFmt numFmtId="169" formatCode="_(* #,##0_);_(* \(#,##0\);_(* &quot;-&quot;??_);_(@_)"/>
    <numFmt numFmtId="170" formatCode="&quot;₹&quot;\ #,##0;[Red]&quot;₹&quot;\ #,##0"/>
    <numFmt numFmtId="171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rgb="FF0033CC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sz val="10"/>
      <color rgb="FFFFFF00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11"/>
      <color theme="2" tint="-9.9978637043366805E-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99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18" xfId="0" applyFont="1" applyFill="1" applyBorder="1"/>
    <xf numFmtId="167" fontId="2" fillId="3" borderId="1" xfId="0" applyNumberFormat="1" applyFont="1" applyFill="1" applyBorder="1" applyAlignment="1">
      <alignment horizontal="center"/>
    </xf>
    <xf numFmtId="166" fontId="0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0" fontId="0" fillId="0" borderId="28" xfId="0" applyBorder="1"/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2" borderId="21" xfId="0" applyFont="1" applyFill="1" applyBorder="1"/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5" borderId="17" xfId="0" applyFill="1" applyBorder="1"/>
    <xf numFmtId="0" fontId="0" fillId="5" borderId="18" xfId="0" applyFill="1" applyBorder="1"/>
    <xf numFmtId="0" fontId="0" fillId="3" borderId="22" xfId="0" applyFill="1" applyBorder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0" borderId="5" xfId="0" applyBorder="1"/>
    <xf numFmtId="0" fontId="0" fillId="4" borderId="22" xfId="0" applyFill="1" applyBorder="1"/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1" xfId="0" applyFill="1" applyBorder="1"/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9" xfId="0" applyFill="1" applyBorder="1"/>
    <xf numFmtId="0" fontId="0" fillId="3" borderId="9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/>
    <xf numFmtId="0" fontId="0" fillId="2" borderId="2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7" xfId="0" applyFill="1" applyBorder="1" applyAlignment="1">
      <alignment horizontal="center" vertical="center"/>
    </xf>
    <xf numFmtId="0" fontId="0" fillId="4" borderId="19" xfId="0" applyFill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25" xfId="0" applyFill="1" applyBorder="1"/>
    <xf numFmtId="0" fontId="2" fillId="3" borderId="1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0" borderId="24" xfId="0" applyFont="1" applyBorder="1"/>
    <xf numFmtId="0" fontId="0" fillId="0" borderId="25" xfId="0" applyBorder="1" applyAlignment="1">
      <alignment horizontal="center"/>
    </xf>
    <xf numFmtId="0" fontId="0" fillId="3" borderId="21" xfId="0" applyFill="1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0" fontId="0" fillId="3" borderId="27" xfId="0" applyFill="1" applyBorder="1"/>
    <xf numFmtId="0" fontId="0" fillId="0" borderId="1" xfId="0" applyBorder="1" applyAlignment="1">
      <alignment horizontal="left"/>
    </xf>
    <xf numFmtId="0" fontId="6" fillId="7" borderId="0" xfId="0" applyFont="1" applyFill="1"/>
    <xf numFmtId="0" fontId="0" fillId="7" borderId="0" xfId="0" applyFill="1"/>
    <xf numFmtId="0" fontId="7" fillId="7" borderId="24" xfId="0" applyFont="1" applyFill="1" applyBorder="1"/>
    <xf numFmtId="0" fontId="0" fillId="7" borderId="0" xfId="0" applyFill="1" applyAlignment="1">
      <alignment horizontal="left"/>
    </xf>
    <xf numFmtId="0" fontId="0" fillId="7" borderId="25" xfId="0" applyFill="1" applyBorder="1"/>
    <xf numFmtId="3" fontId="0" fillId="8" borderId="1" xfId="0" applyNumberFormat="1" applyFill="1" applyBorder="1" applyAlignment="1">
      <alignment horizontal="left"/>
    </xf>
    <xf numFmtId="0" fontId="0" fillId="7" borderId="24" xfId="0" applyFill="1" applyBorder="1"/>
    <xf numFmtId="9" fontId="0" fillId="8" borderId="1" xfId="0" applyNumberFormat="1" applyFill="1" applyBorder="1" applyAlignment="1">
      <alignment horizontal="left"/>
    </xf>
    <xf numFmtId="0" fontId="0" fillId="0" borderId="25" xfId="0" applyBorder="1"/>
    <xf numFmtId="0" fontId="0" fillId="8" borderId="1" xfId="0" applyFill="1" applyBorder="1" applyAlignment="1">
      <alignment horizontal="left"/>
    </xf>
    <xf numFmtId="3" fontId="0" fillId="0" borderId="1" xfId="2" applyNumberFormat="1" applyFont="1" applyBorder="1" applyAlignment="1">
      <alignment horizontal="left"/>
    </xf>
    <xf numFmtId="1" fontId="0" fillId="0" borderId="25" xfId="3" applyNumberFormat="1" applyFont="1" applyBorder="1"/>
    <xf numFmtId="0" fontId="0" fillId="7" borderId="6" xfId="0" applyFill="1" applyBorder="1"/>
    <xf numFmtId="0" fontId="0" fillId="7" borderId="5" xfId="0" applyFill="1" applyBorder="1"/>
    <xf numFmtId="0" fontId="0" fillId="7" borderId="1" xfId="0" applyFill="1" applyBorder="1" applyAlignment="1">
      <alignment horizontal="left"/>
    </xf>
    <xf numFmtId="0" fontId="0" fillId="0" borderId="32" xfId="0" applyBorder="1"/>
    <xf numFmtId="3" fontId="0" fillId="0" borderId="13" xfId="2" applyNumberFormat="1" applyFont="1" applyBorder="1" applyAlignment="1">
      <alignment horizontal="left"/>
    </xf>
    <xf numFmtId="164" fontId="0" fillId="7" borderId="25" xfId="0" applyNumberFormat="1" applyFill="1" applyBorder="1"/>
    <xf numFmtId="0" fontId="0" fillId="0" borderId="6" xfId="0" applyBorder="1"/>
    <xf numFmtId="9" fontId="0" fillId="7" borderId="0" xfId="0" applyNumberFormat="1" applyFill="1" applyAlignment="1">
      <alignment horizontal="left"/>
    </xf>
    <xf numFmtId="0" fontId="7" fillId="7" borderId="25" xfId="0" applyFont="1" applyFill="1" applyBorder="1" applyAlignment="1">
      <alignment horizontal="left"/>
    </xf>
    <xf numFmtId="0" fontId="0" fillId="0" borderId="24" xfId="0" applyBorder="1"/>
    <xf numFmtId="0" fontId="0" fillId="0" borderId="0" xfId="0" applyAlignment="1">
      <alignment horizontal="left"/>
    </xf>
    <xf numFmtId="0" fontId="7" fillId="7" borderId="25" xfId="0" applyFont="1" applyFill="1" applyBorder="1"/>
    <xf numFmtId="165" fontId="0" fillId="7" borderId="0" xfId="0" applyNumberFormat="1" applyFill="1" applyAlignment="1">
      <alignment horizontal="left"/>
    </xf>
    <xf numFmtId="9" fontId="9" fillId="8" borderId="1" xfId="0" applyNumberFormat="1" applyFont="1" applyFill="1" applyBorder="1" applyAlignment="1">
      <alignment horizontal="left"/>
    </xf>
    <xf numFmtId="9" fontId="0" fillId="7" borderId="1" xfId="0" applyNumberFormat="1" applyFill="1" applyBorder="1" applyAlignment="1">
      <alignment horizontal="left"/>
    </xf>
    <xf numFmtId="0" fontId="7" fillId="7" borderId="6" xfId="0" applyFont="1" applyFill="1" applyBorder="1"/>
    <xf numFmtId="0" fontId="0" fillId="7" borderId="7" xfId="0" applyFill="1" applyBorder="1"/>
    <xf numFmtId="0" fontId="0" fillId="7" borderId="8" xfId="0" applyFill="1" applyBorder="1" applyAlignment="1">
      <alignment horizontal="left"/>
    </xf>
    <xf numFmtId="167" fontId="0" fillId="7" borderId="9" xfId="3" applyNumberFormat="1" applyFont="1" applyFill="1" applyBorder="1"/>
    <xf numFmtId="0" fontId="0" fillId="7" borderId="1" xfId="0" applyFill="1" applyBorder="1"/>
    <xf numFmtId="10" fontId="0" fillId="7" borderId="0" xfId="3" applyNumberFormat="1" applyFont="1" applyFill="1"/>
    <xf numFmtId="3" fontId="0" fillId="3" borderId="6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left"/>
    </xf>
    <xf numFmtId="166" fontId="0" fillId="3" borderId="6" xfId="1" applyNumberFormat="1" applyFont="1" applyFill="1" applyBorder="1" applyAlignment="1">
      <alignment horizontal="center"/>
    </xf>
    <xf numFmtId="0" fontId="2" fillId="3" borderId="33" xfId="0" applyFont="1" applyFill="1" applyBorder="1"/>
    <xf numFmtId="0" fontId="2" fillId="3" borderId="3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center"/>
    </xf>
    <xf numFmtId="0" fontId="0" fillId="0" borderId="26" xfId="0" applyBorder="1" applyAlignment="1">
      <alignment horizontal="center"/>
    </xf>
    <xf numFmtId="10" fontId="0" fillId="9" borderId="10" xfId="0" applyNumberFormat="1" applyFill="1" applyBorder="1" applyAlignment="1">
      <alignment horizontal="center"/>
    </xf>
    <xf numFmtId="10" fontId="0" fillId="9" borderId="35" xfId="0" applyNumberFormat="1" applyFill="1" applyBorder="1" applyAlignment="1">
      <alignment horizontal="center"/>
    </xf>
    <xf numFmtId="10" fontId="0" fillId="9" borderId="1" xfId="0" applyNumberFormat="1" applyFill="1" applyBorder="1" applyAlignment="1">
      <alignment horizontal="left"/>
    </xf>
    <xf numFmtId="10" fontId="0" fillId="9" borderId="8" xfId="0" applyNumberFormat="1" applyFill="1" applyBorder="1" applyAlignment="1">
      <alignment horizontal="left"/>
    </xf>
    <xf numFmtId="0" fontId="3" fillId="3" borderId="0" xfId="0" applyFont="1" applyFill="1"/>
    <xf numFmtId="0" fontId="4" fillId="7" borderId="1" xfId="0" applyFont="1" applyFill="1" applyBorder="1"/>
    <xf numFmtId="3" fontId="4" fillId="0" borderId="13" xfId="2" applyNumberFormat="1" applyFont="1" applyBorder="1" applyAlignment="1">
      <alignment horizontal="left"/>
    </xf>
    <xf numFmtId="0" fontId="4" fillId="7" borderId="5" xfId="0" applyFont="1" applyFill="1" applyBorder="1"/>
    <xf numFmtId="0" fontId="4" fillId="0" borderId="5" xfId="0" applyFont="1" applyBorder="1"/>
    <xf numFmtId="0" fontId="10" fillId="7" borderId="5" xfId="0" applyFont="1" applyFill="1" applyBorder="1"/>
    <xf numFmtId="10" fontId="0" fillId="7" borderId="0" xfId="1" applyNumberFormat="1" applyFont="1" applyFill="1"/>
    <xf numFmtId="0" fontId="2" fillId="9" borderId="6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2" borderId="26" xfId="0" applyFont="1" applyFill="1" applyBorder="1"/>
    <xf numFmtId="168" fontId="2" fillId="0" borderId="1" xfId="0" applyNumberFormat="1" applyFont="1" applyBorder="1" applyAlignment="1">
      <alignment horizontal="center"/>
    </xf>
    <xf numFmtId="168" fontId="2" fillId="3" borderId="4" xfId="0" applyNumberFormat="1" applyFont="1" applyFill="1" applyBorder="1" applyAlignment="1">
      <alignment horizontal="center"/>
    </xf>
    <xf numFmtId="168" fontId="11" fillId="3" borderId="9" xfId="1" applyNumberFormat="1" applyFont="1" applyFill="1" applyBorder="1" applyAlignment="1">
      <alignment horizontal="center"/>
    </xf>
    <xf numFmtId="0" fontId="13" fillId="10" borderId="11" xfId="4" applyFont="1" applyFill="1" applyBorder="1" applyAlignment="1">
      <alignment horizontal="left"/>
    </xf>
    <xf numFmtId="0" fontId="14" fillId="11" borderId="11" xfId="4" applyFont="1" applyFill="1" applyBorder="1"/>
    <xf numFmtId="0" fontId="14" fillId="11" borderId="20" xfId="4" applyFont="1" applyFill="1" applyBorder="1"/>
    <xf numFmtId="0" fontId="12" fillId="11" borderId="20" xfId="4" applyFill="1" applyBorder="1"/>
    <xf numFmtId="0" fontId="14" fillId="11" borderId="10" xfId="4" applyFont="1" applyFill="1" applyBorder="1" applyAlignment="1">
      <alignment horizontal="right"/>
    </xf>
    <xf numFmtId="0" fontId="12" fillId="10" borderId="0" xfId="4" applyFill="1"/>
    <xf numFmtId="0" fontId="14" fillId="8" borderId="0" xfId="4" applyFont="1" applyFill="1"/>
    <xf numFmtId="0" fontId="12" fillId="0" borderId="0" xfId="4"/>
    <xf numFmtId="0" fontId="14" fillId="11" borderId="10" xfId="4" applyFont="1" applyFill="1" applyBorder="1"/>
    <xf numFmtId="0" fontId="14" fillId="10" borderId="0" xfId="4" applyFont="1" applyFill="1"/>
    <xf numFmtId="0" fontId="14" fillId="10" borderId="20" xfId="4" applyFont="1" applyFill="1" applyBorder="1"/>
    <xf numFmtId="0" fontId="14" fillId="11" borderId="10" xfId="4" applyFont="1" applyFill="1" applyBorder="1" applyAlignment="1">
      <alignment horizontal="center"/>
    </xf>
    <xf numFmtId="0" fontId="14" fillId="11" borderId="0" xfId="4" applyFont="1" applyFill="1"/>
    <xf numFmtId="0" fontId="13" fillId="10" borderId="1" xfId="4" applyFont="1" applyFill="1" applyBorder="1" applyAlignment="1">
      <alignment horizontal="center"/>
    </xf>
    <xf numFmtId="0" fontId="13" fillId="10" borderId="1" xfId="4" applyFont="1" applyFill="1" applyBorder="1" applyAlignment="1">
      <alignment horizontal="right"/>
    </xf>
    <xf numFmtId="0" fontId="13" fillId="10" borderId="13" xfId="4" applyFont="1" applyFill="1" applyBorder="1" applyAlignment="1">
      <alignment horizontal="center"/>
    </xf>
    <xf numFmtId="0" fontId="14" fillId="11" borderId="1" xfId="4" applyFont="1" applyFill="1" applyBorder="1" applyAlignment="1">
      <alignment horizontal="left"/>
    </xf>
    <xf numFmtId="0" fontId="15" fillId="8" borderId="1" xfId="4" applyFont="1" applyFill="1" applyBorder="1" applyAlignment="1">
      <alignment horizontal="center"/>
    </xf>
    <xf numFmtId="0" fontId="15" fillId="10" borderId="1" xfId="4" applyFont="1" applyFill="1" applyBorder="1" applyAlignment="1">
      <alignment horizontal="center"/>
    </xf>
    <xf numFmtId="0" fontId="15" fillId="11" borderId="1" xfId="4" applyFont="1" applyFill="1" applyBorder="1" applyAlignment="1">
      <alignment horizontal="center"/>
    </xf>
    <xf numFmtId="0" fontId="15" fillId="12" borderId="1" xfId="4" applyFont="1" applyFill="1" applyBorder="1" applyAlignment="1">
      <alignment horizontal="center"/>
    </xf>
    <xf numFmtId="3" fontId="15" fillId="8" borderId="1" xfId="4" applyNumberFormat="1" applyFont="1" applyFill="1" applyBorder="1" applyAlignment="1">
      <alignment horizontal="center"/>
    </xf>
    <xf numFmtId="3" fontId="15" fillId="10" borderId="1" xfId="4" applyNumberFormat="1" applyFont="1" applyFill="1" applyBorder="1" applyAlignment="1">
      <alignment horizontal="center"/>
    </xf>
    <xf numFmtId="166" fontId="15" fillId="8" borderId="1" xfId="4" applyNumberFormat="1" applyFont="1" applyFill="1" applyBorder="1" applyAlignment="1">
      <alignment horizontal="center"/>
    </xf>
    <xf numFmtId="166" fontId="15" fillId="10" borderId="1" xfId="4" applyNumberFormat="1" applyFont="1" applyFill="1" applyBorder="1" applyAlignment="1">
      <alignment horizontal="center"/>
    </xf>
    <xf numFmtId="10" fontId="15" fillId="8" borderId="1" xfId="4" applyNumberFormat="1" applyFont="1" applyFill="1" applyBorder="1" applyAlignment="1">
      <alignment horizontal="center"/>
    </xf>
    <xf numFmtId="10" fontId="15" fillId="10" borderId="1" xfId="4" applyNumberFormat="1" applyFont="1" applyFill="1" applyBorder="1" applyAlignment="1">
      <alignment horizontal="center"/>
    </xf>
    <xf numFmtId="3" fontId="15" fillId="12" borderId="1" xfId="4" applyNumberFormat="1" applyFont="1" applyFill="1" applyBorder="1" applyAlignment="1">
      <alignment horizontal="center"/>
    </xf>
    <xf numFmtId="10" fontId="12" fillId="0" borderId="0" xfId="4" applyNumberFormat="1" applyAlignment="1">
      <alignment horizontal="left"/>
    </xf>
    <xf numFmtId="3" fontId="15" fillId="0" borderId="0" xfId="4" applyNumberFormat="1" applyFont="1" applyAlignment="1">
      <alignment horizontal="center"/>
    </xf>
    <xf numFmtId="0" fontId="14" fillId="0" borderId="0" xfId="4" applyFont="1" applyAlignment="1">
      <alignment horizontal="left"/>
    </xf>
    <xf numFmtId="0" fontId="12" fillId="10" borderId="1" xfId="4" applyFill="1" applyBorder="1"/>
    <xf numFmtId="4" fontId="15" fillId="0" borderId="0" xfId="4" applyNumberFormat="1" applyFont="1" applyAlignment="1">
      <alignment horizontal="center"/>
    </xf>
    <xf numFmtId="0" fontId="13" fillId="0" borderId="0" xfId="4" applyFont="1" applyAlignment="1">
      <alignment horizontal="center"/>
    </xf>
    <xf numFmtId="0" fontId="16" fillId="0" borderId="0" xfId="4" applyFont="1"/>
    <xf numFmtId="0" fontId="12" fillId="10" borderId="36" xfId="4" applyFill="1" applyBorder="1"/>
    <xf numFmtId="0" fontId="13" fillId="10" borderId="36" xfId="4" applyFont="1" applyFill="1" applyBorder="1" applyAlignment="1">
      <alignment horizontal="center"/>
    </xf>
    <xf numFmtId="0" fontId="13" fillId="10" borderId="0" xfId="4" applyFont="1" applyFill="1"/>
    <xf numFmtId="0" fontId="16" fillId="10" borderId="0" xfId="4" applyFont="1" applyFill="1"/>
    <xf numFmtId="3" fontId="12" fillId="0" borderId="0" xfId="4" applyNumberFormat="1" applyAlignment="1">
      <alignment horizontal="center"/>
    </xf>
    <xf numFmtId="10" fontId="12" fillId="0" borderId="0" xfId="4" applyNumberFormat="1" applyAlignment="1">
      <alignment horizontal="center"/>
    </xf>
    <xf numFmtId="0" fontId="14" fillId="0" borderId="0" xfId="4" applyFont="1"/>
    <xf numFmtId="169" fontId="0" fillId="0" borderId="0" xfId="5" applyNumberFormat="1" applyFont="1"/>
    <xf numFmtId="0" fontId="13" fillId="10" borderId="11" xfId="0" applyFont="1" applyFill="1" applyBorder="1" applyAlignment="1">
      <alignment horizontal="left"/>
    </xf>
    <xf numFmtId="0" fontId="14" fillId="11" borderId="20" xfId="0" applyFont="1" applyFill="1" applyBorder="1"/>
    <xf numFmtId="0" fontId="14" fillId="11" borderId="10" xfId="0" applyFont="1" applyFill="1" applyBorder="1"/>
    <xf numFmtId="0" fontId="0" fillId="10" borderId="0" xfId="0" applyFill="1"/>
    <xf numFmtId="0" fontId="14" fillId="11" borderId="0" xfId="0" applyFont="1" applyFill="1"/>
    <xf numFmtId="0" fontId="13" fillId="10" borderId="1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3" fontId="15" fillId="8" borderId="1" xfId="0" applyNumberFormat="1" applyFont="1" applyFill="1" applyBorder="1" applyAlignment="1">
      <alignment horizontal="center"/>
    </xf>
    <xf numFmtId="166" fontId="15" fillId="8" borderId="1" xfId="0" applyNumberFormat="1" applyFont="1" applyFill="1" applyBorder="1" applyAlignment="1">
      <alignment horizontal="center"/>
    </xf>
    <xf numFmtId="10" fontId="15" fillId="8" borderId="1" xfId="0" applyNumberFormat="1" applyFont="1" applyFill="1" applyBorder="1" applyAlignment="1">
      <alignment horizontal="center"/>
    </xf>
    <xf numFmtId="3" fontId="15" fillId="12" borderId="1" xfId="0" applyNumberFormat="1" applyFont="1" applyFill="1" applyBorder="1" applyAlignment="1">
      <alignment horizontal="center"/>
    </xf>
    <xf numFmtId="0" fontId="17" fillId="10" borderId="0" xfId="0" applyFont="1" applyFill="1" applyAlignment="1">
      <alignment horizontal="right"/>
    </xf>
    <xf numFmtId="0" fontId="13" fillId="10" borderId="1" xfId="0" applyFont="1" applyFill="1" applyBorder="1" applyAlignment="1">
      <alignment horizontal="center"/>
    </xf>
    <xf numFmtId="10" fontId="15" fillId="12" borderId="1" xfId="0" applyNumberFormat="1" applyFont="1" applyFill="1" applyBorder="1" applyAlignment="1">
      <alignment horizontal="center"/>
    </xf>
    <xf numFmtId="3" fontId="15" fillId="13" borderId="1" xfId="0" applyNumberFormat="1" applyFont="1" applyFill="1" applyBorder="1" applyAlignment="1">
      <alignment horizontal="center"/>
    </xf>
    <xf numFmtId="3" fontId="15" fillId="6" borderId="1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7" borderId="0" xfId="0" applyFill="1" applyAlignment="1">
      <alignment horizontal="center"/>
    </xf>
    <xf numFmtId="169" fontId="0" fillId="3" borderId="10" xfId="5" applyNumberFormat="1" applyFont="1" applyFill="1" applyBorder="1" applyAlignment="1">
      <alignment horizontal="left"/>
    </xf>
    <xf numFmtId="169" fontId="0" fillId="0" borderId="19" xfId="5" applyNumberFormat="1" applyFont="1" applyBorder="1" applyAlignment="1">
      <alignment horizontal="left"/>
    </xf>
    <xf numFmtId="169" fontId="0" fillId="3" borderId="6" xfId="5" applyNumberFormat="1" applyFont="1" applyFill="1" applyBorder="1" applyAlignment="1">
      <alignment horizontal="left"/>
    </xf>
    <xf numFmtId="169" fontId="0" fillId="0" borderId="27" xfId="5" applyNumberFormat="1" applyFont="1" applyBorder="1" applyAlignment="1">
      <alignment horizontal="left"/>
    </xf>
    <xf numFmtId="0" fontId="14" fillId="15" borderId="0" xfId="4" applyFont="1" applyFill="1"/>
    <xf numFmtId="0" fontId="14" fillId="11" borderId="11" xfId="0" applyFont="1" applyFill="1" applyBorder="1"/>
    <xf numFmtId="3" fontId="0" fillId="0" borderId="0" xfId="0" applyNumberFormat="1" applyAlignment="1">
      <alignment horizontal="center"/>
    </xf>
    <xf numFmtId="169" fontId="0" fillId="0" borderId="0" xfId="5" applyNumberFormat="1" applyFont="1" applyAlignment="1">
      <alignment horizontal="center"/>
    </xf>
    <xf numFmtId="3" fontId="0" fillId="17" borderId="1" xfId="0" applyNumberFormat="1" applyFill="1" applyBorder="1" applyAlignment="1">
      <alignment horizontal="center"/>
    </xf>
    <xf numFmtId="3" fontId="0" fillId="17" borderId="13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17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11" borderId="20" xfId="0" applyFont="1" applyFill="1" applyBorder="1"/>
    <xf numFmtId="0" fontId="19" fillId="16" borderId="13" xfId="0" applyFont="1" applyFill="1" applyBorder="1" applyAlignment="1">
      <alignment horizontal="center"/>
    </xf>
    <xf numFmtId="169" fontId="2" fillId="3" borderId="34" xfId="5" applyNumberFormat="1" applyFont="1" applyFill="1" applyBorder="1" applyAlignment="1">
      <alignment horizontal="center"/>
    </xf>
    <xf numFmtId="169" fontId="0" fillId="0" borderId="0" xfId="0" applyNumberFormat="1"/>
    <xf numFmtId="169" fontId="20" fillId="0" borderId="0" xfId="5" applyNumberFormat="1" applyFont="1"/>
    <xf numFmtId="0" fontId="21" fillId="0" borderId="0" xfId="6"/>
    <xf numFmtId="10" fontId="0" fillId="7" borderId="0" xfId="0" applyNumberFormat="1" applyFill="1" applyAlignment="1">
      <alignment horizontal="left"/>
    </xf>
    <xf numFmtId="1" fontId="0" fillId="7" borderId="0" xfId="0" applyNumberFormat="1" applyFill="1"/>
    <xf numFmtId="0" fontId="23" fillId="7" borderId="0" xfId="0" applyFont="1" applyFill="1"/>
    <xf numFmtId="0" fontId="24" fillId="0" borderId="0" xfId="0" applyFont="1"/>
    <xf numFmtId="0" fontId="22" fillId="7" borderId="0" xfId="0" applyFont="1" applyFill="1" applyAlignment="1">
      <alignment horizontal="left"/>
    </xf>
    <xf numFmtId="0" fontId="0" fillId="7" borderId="0" xfId="0" applyFill="1" applyAlignment="1">
      <alignment vertical="top"/>
    </xf>
    <xf numFmtId="0" fontId="2" fillId="0" borderId="0" xfId="0" applyFont="1" applyAlignment="1">
      <alignment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7" borderId="0" xfId="0" applyNumberFormat="1" applyFont="1" applyFill="1" applyAlignment="1">
      <alignment horizontal="left" vertical="center"/>
    </xf>
    <xf numFmtId="0" fontId="24" fillId="7" borderId="0" xfId="0" applyFont="1" applyFill="1"/>
    <xf numFmtId="0" fontId="2" fillId="7" borderId="0" xfId="0" applyFont="1" applyFill="1" applyAlignment="1">
      <alignment horizontal="center"/>
    </xf>
    <xf numFmtId="170" fontId="2" fillId="7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170" fontId="24" fillId="7" borderId="0" xfId="0" applyNumberFormat="1" applyFont="1" applyFill="1"/>
    <xf numFmtId="0" fontId="2" fillId="7" borderId="0" xfId="0" applyFont="1" applyFill="1" applyAlignment="1">
      <alignment horizontal="center" vertical="center"/>
    </xf>
    <xf numFmtId="0" fontId="2" fillId="3" borderId="20" xfId="0" applyFont="1" applyFill="1" applyBorder="1"/>
    <xf numFmtId="0" fontId="2" fillId="3" borderId="37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/>
    </xf>
    <xf numFmtId="0" fontId="3" fillId="3" borderId="5" xfId="0" applyFont="1" applyFill="1" applyBorder="1"/>
    <xf numFmtId="0" fontId="25" fillId="7" borderId="24" xfId="0" applyFont="1" applyFill="1" applyBorder="1"/>
    <xf numFmtId="0" fontId="26" fillId="7" borderId="24" xfId="0" applyFont="1" applyFill="1" applyBorder="1"/>
    <xf numFmtId="0" fontId="0" fillId="16" borderId="0" xfId="0" applyFill="1" applyAlignment="1">
      <alignment horizontal="left"/>
    </xf>
    <xf numFmtId="171" fontId="0" fillId="8" borderId="1" xfId="5" applyNumberFormat="1" applyFont="1" applyFill="1" applyBorder="1" applyAlignment="1">
      <alignment horizontal="left"/>
    </xf>
    <xf numFmtId="9" fontId="23" fillId="5" borderId="1" xfId="1" applyFont="1" applyFill="1" applyBorder="1" applyAlignment="1">
      <alignment horizontal="left"/>
    </xf>
    <xf numFmtId="9" fontId="28" fillId="5" borderId="1" xfId="1" applyFont="1" applyFill="1" applyBorder="1" applyAlignment="1">
      <alignment horizontal="left"/>
    </xf>
    <xf numFmtId="0" fontId="23" fillId="5" borderId="1" xfId="0" applyFont="1" applyFill="1" applyBorder="1"/>
    <xf numFmtId="0" fontId="28" fillId="5" borderId="1" xfId="0" applyFont="1" applyFill="1" applyBorder="1"/>
    <xf numFmtId="0" fontId="29" fillId="7" borderId="0" xfId="0" applyFont="1" applyFill="1" applyAlignment="1">
      <alignment horizontal="left"/>
    </xf>
    <xf numFmtId="0" fontId="32" fillId="11" borderId="1" xfId="4" applyFont="1" applyFill="1" applyBorder="1" applyAlignment="1">
      <alignment horizontal="left"/>
    </xf>
    <xf numFmtId="3" fontId="33" fillId="8" borderId="1" xfId="4" applyNumberFormat="1" applyFont="1" applyFill="1" applyBorder="1" applyAlignment="1">
      <alignment horizontal="center"/>
    </xf>
    <xf numFmtId="3" fontId="33" fillId="10" borderId="1" xfId="4" applyNumberFormat="1" applyFont="1" applyFill="1" applyBorder="1" applyAlignment="1">
      <alignment horizontal="center"/>
    </xf>
    <xf numFmtId="10" fontId="33" fillId="8" borderId="1" xfId="4" applyNumberFormat="1" applyFont="1" applyFill="1" applyBorder="1" applyAlignment="1">
      <alignment horizontal="center"/>
    </xf>
    <xf numFmtId="10" fontId="33" fillId="10" borderId="1" xfId="4" applyNumberFormat="1" applyFont="1" applyFill="1" applyBorder="1" applyAlignment="1">
      <alignment horizontal="center"/>
    </xf>
    <xf numFmtId="3" fontId="33" fillId="12" borderId="1" xfId="4" applyNumberFormat="1" applyFont="1" applyFill="1" applyBorder="1" applyAlignment="1">
      <alignment horizontal="center"/>
    </xf>
    <xf numFmtId="10" fontId="33" fillId="12" borderId="1" xfId="4" applyNumberFormat="1" applyFont="1" applyFill="1" applyBorder="1" applyAlignment="1">
      <alignment horizontal="center"/>
    </xf>
    <xf numFmtId="3" fontId="33" fillId="13" borderId="1" xfId="4" applyNumberFormat="1" applyFont="1" applyFill="1" applyBorder="1" applyAlignment="1">
      <alignment horizontal="center"/>
    </xf>
    <xf numFmtId="3" fontId="33" fillId="14" borderId="1" xfId="4" applyNumberFormat="1" applyFont="1" applyFill="1" applyBorder="1" applyAlignment="1">
      <alignment horizontal="center"/>
    </xf>
    <xf numFmtId="4" fontId="33" fillId="8" borderId="1" xfId="4" applyNumberFormat="1" applyFont="1" applyFill="1" applyBorder="1" applyAlignment="1">
      <alignment horizontal="center"/>
    </xf>
    <xf numFmtId="3" fontId="33" fillId="6" borderId="1" xfId="4" applyNumberFormat="1" applyFont="1" applyFill="1" applyBorder="1" applyAlignment="1">
      <alignment horizontal="center"/>
    </xf>
    <xf numFmtId="0" fontId="34" fillId="11" borderId="1" xfId="0" applyFont="1" applyFill="1" applyBorder="1" applyAlignment="1">
      <alignment horizontal="left"/>
    </xf>
    <xf numFmtId="0" fontId="35" fillId="11" borderId="1" xfId="0" applyFont="1" applyFill="1" applyBorder="1" applyAlignment="1">
      <alignment horizontal="center"/>
    </xf>
    <xf numFmtId="0" fontId="36" fillId="0" borderId="0" xfId="0" applyFont="1"/>
    <xf numFmtId="0" fontId="35" fillId="0" borderId="0" xfId="4" applyFont="1"/>
    <xf numFmtId="0" fontId="35" fillId="8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left"/>
    </xf>
    <xf numFmtId="169" fontId="20" fillId="0" borderId="0" xfId="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9" fontId="2" fillId="18" borderId="39" xfId="5" applyNumberFormat="1" applyFont="1" applyFill="1" applyBorder="1"/>
    <xf numFmtId="0" fontId="0" fillId="7" borderId="25" xfId="0" applyFill="1" applyBorder="1" applyAlignment="1">
      <alignment wrapText="1"/>
    </xf>
    <xf numFmtId="9" fontId="0" fillId="0" borderId="0" xfId="0" applyNumberFormat="1" applyAlignment="1">
      <alignment wrapText="1"/>
    </xf>
    <xf numFmtId="9" fontId="0" fillId="8" borderId="1" xfId="0" applyNumberFormat="1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2" fillId="7" borderId="0" xfId="0" applyFont="1" applyFill="1" applyAlignment="1">
      <alignment horizontal="right" wrapText="1"/>
    </xf>
    <xf numFmtId="0" fontId="14" fillId="0" borderId="0" xfId="4" applyFont="1" applyAlignment="1">
      <alignment horizontal="right" wrapText="1"/>
    </xf>
    <xf numFmtId="0" fontId="31" fillId="0" borderId="0" xfId="0" applyFont="1"/>
    <xf numFmtId="169" fontId="0" fillId="0" borderId="0" xfId="5" applyNumberFormat="1" applyFont="1" applyAlignment="1">
      <alignment wrapText="1"/>
    </xf>
    <xf numFmtId="0" fontId="0" fillId="0" borderId="38" xfId="0" applyBorder="1" applyAlignment="1">
      <alignment horizontal="center"/>
    </xf>
    <xf numFmtId="0" fontId="21" fillId="16" borderId="1" xfId="6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0" fillId="7" borderId="24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9" borderId="19" xfId="0" applyFont="1" applyFill="1" applyBorder="1" applyAlignment="1">
      <alignment horizontal="center"/>
    </xf>
  </cellXfs>
  <cellStyles count="7">
    <cellStyle name="Comma" xfId="5" builtinId="3"/>
    <cellStyle name="Comma 2" xfId="2" xr:uid="{00000000-0005-0000-0000-000001000000}"/>
    <cellStyle name="Hyperlink" xfId="6" builtinId="8"/>
    <cellStyle name="Normal" xfId="0" builtinId="0"/>
    <cellStyle name="Normal 2" xfId="4" xr:uid="{00000000-0005-0000-0000-000004000000}"/>
    <cellStyle name="Percent" xfId="1" builtinId="5"/>
    <cellStyle name="Percent 2" xfId="3" xr:uid="{00000000-0005-0000-0000-000006000000}"/>
  </cellStyles>
  <dxfs count="9">
    <dxf>
      <numFmt numFmtId="169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(* #,##0_);_(* \(#,##0\);_(* &quot;-&quot;??_);_(@_)"/>
    </dxf>
    <dxf>
      <numFmt numFmtId="3" formatCode="#,##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(* #,##0_);_(* \(#,##0\);_(* &quot;-&quot;??_);_(@_)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_(* #,##0_);_(* \(#,##0\);_(* &quot;-&quot;??_);_(@_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1190624</xdr:colOff>
      <xdr:row>28</xdr:row>
      <xdr:rowOff>9526</xdr:rowOff>
    </xdr:from>
    <xdr:to>
      <xdr:col>6</xdr:col>
      <xdr:colOff>180974</xdr:colOff>
      <xdr:row>30</xdr:row>
      <xdr:rowOff>104776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 flipH="1" flipV="1">
          <a:off x="7339012" y="4452938"/>
          <a:ext cx="457200" cy="314325"/>
        </a:xfrm>
        <a:prstGeom prst="straightConnector1">
          <a:avLst/>
        </a:prstGeom>
        <a:ln>
          <a:solidFill>
            <a:srgbClr val="0033CC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952501</xdr:colOff>
      <xdr:row>26</xdr:row>
      <xdr:rowOff>66675</xdr:rowOff>
    </xdr:from>
    <xdr:to>
      <xdr:col>4</xdr:col>
      <xdr:colOff>1152526</xdr:colOff>
      <xdr:row>28</xdr:row>
      <xdr:rowOff>95250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rot="16200000" flipV="1">
          <a:off x="5886451" y="4171950"/>
          <a:ext cx="390525" cy="20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1057275</xdr:colOff>
      <xdr:row>10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6991350" y="1181100"/>
          <a:ext cx="91440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private/athome/website/ffc_derived/Mutual-fund-lump-sum-Rolling-returns-calculator-12year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und"/>
      <sheetName val="Fund2"/>
      <sheetName val="Analysis"/>
      <sheetName val="Benchmark"/>
      <sheetName val="NAV AMFI"/>
      <sheetName val="temp"/>
      <sheetName val="Index"/>
      <sheetName val="Normalized NAV movement"/>
      <sheetName val="Normalized NAV movement Multi"/>
      <sheetName val="Rolling Returns"/>
      <sheetName val="Rolling Returns Multi"/>
      <sheetName val="Add new AMFI Record"/>
      <sheetName val="Navdaily"/>
      <sheetName val="data"/>
      <sheetName val="Inp"/>
      <sheetName val="Total Returns Index"/>
      <sheetName val="List"/>
      <sheetName val="Fund3"/>
      <sheetName val="Fund4"/>
    </sheetNames>
    <sheetDataSet>
      <sheetData sheetId="0">
        <row r="2">
          <cell r="Z2" t="str">
            <v>Aditya Birla Sun Life Midcap Fund - Dividend - Direct Plan</v>
          </cell>
        </row>
        <row r="3">
          <cell r="Z3" t="str">
            <v>Aditya Birla Sun Life Midcap Fund - Growth - Direct Plan</v>
          </cell>
        </row>
        <row r="4">
          <cell r="Z4" t="str">
            <v>Aditya Birla Sun Life MIDCAP Fund-Dividend</v>
          </cell>
        </row>
        <row r="5">
          <cell r="Z5" t="str">
            <v>Aditya Birla Sun Life MIDCAP Fund-Growth</v>
          </cell>
        </row>
        <row r="6">
          <cell r="Z6" t="str">
            <v>Axis Midcap Fund - Direct Plan - Dividend</v>
          </cell>
        </row>
        <row r="7">
          <cell r="Z7" t="str">
            <v>Axis Midcap Fund - Direct Plan - Growth</v>
          </cell>
        </row>
        <row r="8">
          <cell r="Z8" t="str">
            <v>Axis Midcap Fund - Dividend</v>
          </cell>
        </row>
        <row r="9">
          <cell r="Z9" t="str">
            <v>Axis Midcap Fund - Growth</v>
          </cell>
        </row>
        <row r="10">
          <cell r="Z10" t="str">
            <v>Baroda Mid-cap Fund- Plan A - Dividend Option</v>
          </cell>
        </row>
        <row r="11">
          <cell r="Z11" t="str">
            <v>Baroda Mid-cap Fund- Plan A - Growth Option</v>
          </cell>
        </row>
        <row r="12">
          <cell r="Z12" t="str">
            <v>Baroda Mid-cap Fund- Plan B (Direct) - Growth Option</v>
          </cell>
        </row>
        <row r="13">
          <cell r="Z13" t="str">
            <v>Baroda Mid-cap Fund-Plan B (Direct)-Dividend Option</v>
          </cell>
        </row>
        <row r="14">
          <cell r="Z14" t="str">
            <v>Baroda Pioneer PSU Equity Fund</v>
          </cell>
        </row>
        <row r="15">
          <cell r="Z15" t="str">
            <v>BNP Paribas Mid Cap Fund - Direct Plan - Dividend Option</v>
          </cell>
        </row>
        <row r="16">
          <cell r="Z16" t="str">
            <v>BNP Paribas Mid Cap Fund - Direct Plan - Growth Option</v>
          </cell>
        </row>
        <row r="17">
          <cell r="Z17" t="str">
            <v>BNP Paribas Mid Cap Fund-Dividend Option</v>
          </cell>
        </row>
        <row r="18">
          <cell r="Z18" t="str">
            <v>BNP Paribas Mid Cap Fund-Growth Option</v>
          </cell>
        </row>
        <row r="19">
          <cell r="Z19" t="str">
            <v>BOI AXA MID &amp; SMALL CAP EQUITY &amp; DEBT FUND - DIRECT PLAN  DIVIDEND</v>
          </cell>
        </row>
        <row r="20">
          <cell r="Z20" t="str">
            <v>BOI AXA MID &amp; SMALL CAP EQUITY &amp; DEBT FUND - DIRECT PLAN GROWTH</v>
          </cell>
        </row>
        <row r="21">
          <cell r="Z21" t="str">
            <v>BOI AXA MID &amp; SMALL CAP EQUITY &amp; DEBT FUND - REGULAR  PLAN  DIVIDEND</v>
          </cell>
        </row>
        <row r="22">
          <cell r="Z22" t="str">
            <v>BOI AXA MID &amp; SMALL CAP EQUITY &amp; DEBT FUND - REGULAR  PLAN  GROWTH</v>
          </cell>
        </row>
        <row r="23">
          <cell r="Z23" t="str">
            <v>DHFL Pramerica Midcap Opportunities Fund - Direct Plan - Dividend Option - Payout</v>
          </cell>
        </row>
        <row r="24">
          <cell r="Z24" t="str">
            <v>DHFL Pramerica Midcap Opportunities Fund - Direct Plan - Growth Option</v>
          </cell>
        </row>
        <row r="25">
          <cell r="Z25" t="str">
            <v>DHFL Pramerica Midcap Opportunities Fund - Regular Plan - Dividend Option - Payout</v>
          </cell>
        </row>
        <row r="26">
          <cell r="Z26" t="str">
            <v>DHFL Pramerica Midcap Opportunities Fund - Regular Plan - Growth Option</v>
          </cell>
        </row>
        <row r="27">
          <cell r="Z27" t="str">
            <v>DSP  Midcap Fund - Direct Plan - Dividend</v>
          </cell>
        </row>
        <row r="28">
          <cell r="Z28" t="str">
            <v>DSP  Midcap Fund - Direct Plan - Growth</v>
          </cell>
        </row>
        <row r="29">
          <cell r="Z29" t="str">
            <v>DSP  Midcap Fund - Regular Plan - Dividend</v>
          </cell>
        </row>
        <row r="30">
          <cell r="Z30" t="str">
            <v>DSP  Midcap Fund - Regular Plan - Growth</v>
          </cell>
        </row>
        <row r="31">
          <cell r="Z31" t="str">
            <v>Edelweiss Mid Cap Fund - Direct Plan - Dividend Option</v>
          </cell>
        </row>
        <row r="32">
          <cell r="Z32" t="str">
            <v>Edelweiss Mid Cap Fund - Direct Plan - Growth Option</v>
          </cell>
        </row>
        <row r="33">
          <cell r="Z33" t="str">
            <v>Edelweiss Mid Cap Fund - Regular Plan - Dividend Option</v>
          </cell>
        </row>
        <row r="34">
          <cell r="Z34" t="str">
            <v>Edelweiss Mid Cap Fund - Regular Plan - Growth Option</v>
          </cell>
        </row>
        <row r="35">
          <cell r="Z35" t="str">
            <v>Franklin India Prima Fund - Direct - Dividend</v>
          </cell>
        </row>
        <row r="36">
          <cell r="Z36" t="str">
            <v>Franklin India Prima Fund - Direct - Growth</v>
          </cell>
        </row>
        <row r="37">
          <cell r="Z37" t="str">
            <v>Franklin India Prima Fund-Dividend</v>
          </cell>
        </row>
        <row r="38">
          <cell r="Z38" t="str">
            <v>Franklin India Prima Fund-Growth</v>
          </cell>
        </row>
        <row r="39">
          <cell r="Z39" t="str">
            <v>HDFC Mid Cap Opportunities Fund -Direct Plan - Dividend Option</v>
          </cell>
        </row>
        <row r="40">
          <cell r="Z40" t="str">
            <v>HDFC Mid Cap Opportunities Fund -Direct Plan - Growth Option</v>
          </cell>
        </row>
        <row r="41">
          <cell r="Z41" t="str">
            <v>HDFC Mid-Cap Opportunities Fund - Dividend Option</v>
          </cell>
        </row>
        <row r="42">
          <cell r="Z42" t="str">
            <v>HDFC Mid-Cap Opportunities Fund - Growth Option</v>
          </cell>
        </row>
        <row r="43">
          <cell r="Z43" t="str">
            <v>IDBI Midcap Fund Dividend Direct</v>
          </cell>
        </row>
        <row r="44">
          <cell r="Z44" t="str">
            <v>IDBI Midcap Fund Dividend Regular</v>
          </cell>
        </row>
        <row r="45">
          <cell r="Z45" t="str">
            <v>IDBI Midcap Fund Growth Direct</v>
          </cell>
        </row>
        <row r="46">
          <cell r="Z46" t="str">
            <v>IDBI Midcap Fund Growth Regular</v>
          </cell>
        </row>
        <row r="47">
          <cell r="Z47" t="str">
            <v>Invesco India Midcap Fund - Direct Plan - Dividend Option</v>
          </cell>
        </row>
        <row r="48">
          <cell r="Z48" t="str">
            <v>Invesco India Midcap Fund - Direct Plan - Growth Option</v>
          </cell>
        </row>
        <row r="49">
          <cell r="Z49" t="str">
            <v>Invesco India Midcap Fund - Dividend Option</v>
          </cell>
        </row>
        <row r="50">
          <cell r="Z50" t="str">
            <v>Invesco India Midcap Fund - Growth Option</v>
          </cell>
        </row>
        <row r="51">
          <cell r="Z51" t="str">
            <v>Kotak Emerging Equity Scheme - Dividend</v>
          </cell>
        </row>
        <row r="52">
          <cell r="Z52" t="str">
            <v>Kotak Emerging Equity Scheme - Dividend - Direct</v>
          </cell>
        </row>
        <row r="53">
          <cell r="Z53" t="str">
            <v>Kotak Emerging Equity Scheme - Growth</v>
          </cell>
        </row>
        <row r="54">
          <cell r="Z54" t="str">
            <v>Kotak Emerging Equity Scheme - Growth - Direct</v>
          </cell>
        </row>
        <row r="55">
          <cell r="Z55" t="str">
            <v>L&amp;T Mid Cap Fund-Direct Plan -Dividend</v>
          </cell>
        </row>
        <row r="56">
          <cell r="Z56" t="str">
            <v>L&amp;T Mid Cap Fund-Direct Plan-Growth</v>
          </cell>
        </row>
        <row r="57">
          <cell r="Z57" t="str">
            <v>L&amp;T Mid Cap Fund-Regular Plan-Dividend</v>
          </cell>
        </row>
        <row r="58">
          <cell r="Z58" t="str">
            <v>L&amp;T Mid Cap Fund-Regular Plan-Growth</v>
          </cell>
        </row>
        <row r="59">
          <cell r="Z59" t="str">
            <v>Mahindra Unnati Emerging Business Yojana - Direct Plan - Dividend</v>
          </cell>
        </row>
        <row r="60">
          <cell r="Z60" t="str">
            <v>Mahindra Unnati Emerging Business Yojana - Direct Plan - Growth</v>
          </cell>
        </row>
        <row r="61">
          <cell r="Z61" t="str">
            <v>Mahindra Unnati Emerging Business Yojana - Regular Plan - Dividend</v>
          </cell>
        </row>
        <row r="62">
          <cell r="Z62" t="str">
            <v>Mahindra Unnati Emerging Business Yojana - Regular Plan - Growth</v>
          </cell>
        </row>
        <row r="63">
          <cell r="Z63" t="str">
            <v>Motilal Oswal Midcap 30 Fund (MOF30)-Direct Plan-Dividend Option</v>
          </cell>
        </row>
        <row r="64">
          <cell r="Z64" t="str">
            <v>Motilal Oswal Midcap 30 Fund (MOF30)-Direct Plan-Growth Option</v>
          </cell>
        </row>
        <row r="65">
          <cell r="Z65" t="str">
            <v>Motilal Oswal Midcap 30 Fund (MOF30)-Regular Plan-Dividend Option</v>
          </cell>
        </row>
        <row r="66">
          <cell r="Z66" t="str">
            <v>Motilal Oswal Midcap 30 Fund (MOF30)-Regular Plan-Growth Option</v>
          </cell>
        </row>
        <row r="67">
          <cell r="Z67" t="str">
            <v>Quant Mid Cap Fund-Dividend</v>
          </cell>
        </row>
        <row r="68">
          <cell r="Z68" t="str">
            <v>Quant Mid Cap Fund-Dividend Option-Direct Plan</v>
          </cell>
        </row>
        <row r="69">
          <cell r="Z69" t="str">
            <v>Quant Mid Cap Fund-Growth</v>
          </cell>
        </row>
        <row r="70">
          <cell r="Z70" t="str">
            <v>Quant Mid Cap Fund-Growth Option-Direct Plan</v>
          </cell>
        </row>
        <row r="71">
          <cell r="Z71" t="str">
            <v>Reliance Growth Fund - Direct Plan Dividend Plan</v>
          </cell>
        </row>
        <row r="72">
          <cell r="Z72" t="str">
            <v>Reliance Growth Fund - Direct Plan Growth Plan - Bonus Option</v>
          </cell>
        </row>
        <row r="73">
          <cell r="Z73" t="str">
            <v>Reliance Growth Fund - Direct Plan Growth Plan - Growth Option</v>
          </cell>
        </row>
        <row r="74">
          <cell r="Z74" t="str">
            <v>Reliance Growth Fund Institutional Plan Dividend Plan</v>
          </cell>
        </row>
        <row r="75">
          <cell r="Z75" t="str">
            <v>Reliance Growth Fund-Dividend Plan-(D)</v>
          </cell>
        </row>
        <row r="76">
          <cell r="Z76" t="str">
            <v>Reliance Growth Fund-Growth Plan-Bonus Option</v>
          </cell>
        </row>
        <row r="77">
          <cell r="Z77" t="str">
            <v>Reliance Growth Fund-Growth Plan-Growth Option</v>
          </cell>
        </row>
        <row r="78">
          <cell r="Z78" t="str">
            <v>SBI Magnum MIDCAP FUND - DIRECT PLAN - GROWTH</v>
          </cell>
        </row>
        <row r="79">
          <cell r="Z79" t="str">
            <v>SBI Magnum MIDCAP FUND - DIRECT PLAN -DIVIDEND</v>
          </cell>
        </row>
        <row r="80">
          <cell r="Z80" t="str">
            <v>SBI Magnum MIDCAP FUND - REGULAR PLAN - GROWTH</v>
          </cell>
        </row>
        <row r="81">
          <cell r="Z81" t="str">
            <v>SBI Magnum MIDCAP FUND - REGULAR PLAN -DIVIDEND</v>
          </cell>
        </row>
        <row r="82">
          <cell r="Z82" t="str">
            <v>Sundaram Mid Cap Fund- Direct Plan - Dividend Option</v>
          </cell>
        </row>
        <row r="83">
          <cell r="Z83" t="str">
            <v>Sundaram Mid Cap Fund- Direct Plan - Growth Option</v>
          </cell>
        </row>
        <row r="84">
          <cell r="Z84" t="str">
            <v>Sundaram Mid Cap Fund -Growth</v>
          </cell>
        </row>
        <row r="85">
          <cell r="Z85" t="str">
            <v>Sundaram Mid Cap Fund -Institutional Dividend</v>
          </cell>
        </row>
        <row r="86">
          <cell r="Z86" t="str">
            <v>Sundaram Mid Cap Fund -Institutional Growth</v>
          </cell>
        </row>
        <row r="87">
          <cell r="Z87" t="str">
            <v>Sundaram Mid Cap Fund- Regular Dividend</v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N90" totalsRowShown="0">
  <autoFilter ref="A6:N9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2" hiddenButton="1"/>
  </autoFilter>
  <tableColumns count="14">
    <tableColumn id="1" xr3:uid="{00000000-0010-0000-0000-000001000000}" name="Cal Year" dataDxfId="8">
      <calculatedColumnFormula>A6+1</calculatedColumnFormula>
    </tableColumn>
    <tableColumn id="2" xr3:uid="{00000000-0010-0000-0000-000002000000}" name="Yrs to go" dataDxfId="7">
      <calculatedColumnFormula>B6+1</calculatedColumnFormula>
    </tableColumn>
    <tableColumn id="3" xr3:uid="{00000000-0010-0000-0000-000003000000}" name="Child 1" dataDxfId="6" dataCellStyle="Comma">
      <calculatedColumnFormula>_xlfn.IFNA(HLOOKUP(B7, 'Staggered Goals(All) Planner'!$B$6:$J$13, 8, FALSE),"")</calculatedColumnFormula>
    </tableColumn>
    <tableColumn id="4" xr3:uid="{00000000-0010-0000-0000-000004000000}" name="Desc"/>
    <tableColumn id="5" xr3:uid="{00000000-0010-0000-0000-000005000000}" name="Fill"/>
    <tableColumn id="6" xr3:uid="{00000000-0010-0000-0000-000006000000}" name="Child 2"/>
    <tableColumn id="7" xr3:uid="{00000000-0010-0000-0000-000007000000}" name="Desc2"/>
    <tableColumn id="8" xr3:uid="{00000000-0010-0000-0000-000008000000}" name="Fill2"/>
    <tableColumn id="9" xr3:uid="{00000000-0010-0000-0000-000009000000}" name="Living Expense" dataDxfId="5">
      <calculatedColumnFormula>IF(I6&gt;0,I6*(1+Retirement_Inputs!$B$15),IF((B7&lt;Retirement_Inputs!$B$11),0,Retirement_Inputs!$B$12*12))</calculatedColumnFormula>
    </tableColumn>
    <tableColumn id="10" xr3:uid="{00000000-0010-0000-0000-00000A000000}" name="Other goals" dataDxfId="4" dataCellStyle="Comma">
      <calculatedColumnFormula>SUMIF('Staggered Goals(All) Planner'!$B$51:$Z$51,YearlyCashFlow!B7,'Staggered Goals(All) Planner'!$B$58:$Z$58)</calculatedColumnFormula>
    </tableColumn>
    <tableColumn id="11" xr3:uid="{00000000-0010-0000-0000-00000B000000}" name="Desc4" dataDxfId="3">
      <calculatedColumnFormula>_xlfn.IFNA(HLOOKUP(B7,'Staggered Goals(All) Planner'!$B$51:$S$67, 16, FALSE),"")</calculatedColumnFormula>
    </tableColumn>
    <tableColumn id="14" xr3:uid="{00000000-0010-0000-0000-00000E000000}" name="Yearly Income from other sources" dataDxfId="2">
      <calculatedColumnFormula>SUM(W7:Z7)</calculatedColumnFormula>
    </tableColumn>
    <tableColumn id="12" xr3:uid="{00000000-0010-0000-0000-00000C000000}" name="Total Cash Required" dataDxfId="1" dataCellStyle="Comma">
      <calculatedColumnFormula>IF(Table1[[#This Row],[Yrs to go]]&lt;yr_to_ret, 0, IF(Table1[[#This Row],[Yrs to go]]&gt;time,0,SUM(C7,F7,I7,J7)-Table1[[#This Row],[Yearly Income from other sources]]))</calculatedColumnFormula>
    </tableColumn>
    <tableColumn id="13" xr3:uid="{00000000-0010-0000-0000-00000D000000}" name="Current Value at constant return" dataDxfId="0">
      <calculatedColumnFormula>PV(Retirement_Inputs!$B$16,Table1[[#This Row],[Yrs to go]],,-Table1[[#This Row],[Total Cash Required]])</calculatedColumnFormula>
    </tableColumn>
  </tableColumns>
  <tableStyleInfo name="TableStyleMedium5" showFirstColumn="1" showLastColumn="1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freefincal.com/play-post-retirement-income-simulation-game/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A66B-4040-42AC-8361-F38C496652FF}">
  <dimension ref="A1:I27"/>
  <sheetViews>
    <sheetView workbookViewId="0">
      <selection activeCell="A22" sqref="A22:C27"/>
    </sheetView>
  </sheetViews>
  <sheetFormatPr defaultRowHeight="15" x14ac:dyDescent="0.25"/>
  <cols>
    <col min="1" max="1" width="28" customWidth="1"/>
    <col min="2" max="2" width="11" customWidth="1"/>
    <col min="3" max="3" width="26.7109375" customWidth="1"/>
    <col min="4" max="4" width="7.5703125" customWidth="1"/>
    <col min="5" max="6" width="10.5703125" bestFit="1" customWidth="1"/>
    <col min="7" max="7" width="10.5703125" customWidth="1"/>
    <col min="8" max="8" width="13.5703125" bestFit="1" customWidth="1"/>
    <col min="9" max="9" width="17.42578125" customWidth="1"/>
  </cols>
  <sheetData>
    <row r="1" spans="1:9" x14ac:dyDescent="0.25">
      <c r="A1" s="281" t="s">
        <v>255</v>
      </c>
      <c r="B1" s="281"/>
      <c r="C1" s="281"/>
      <c r="D1" s="281"/>
      <c r="E1" s="281"/>
      <c r="F1" s="281"/>
      <c r="G1" s="281"/>
      <c r="H1" s="281"/>
      <c r="I1" s="281"/>
    </row>
    <row r="2" spans="1:9" x14ac:dyDescent="0.25">
      <c r="A2" s="241" t="s">
        <v>220</v>
      </c>
      <c r="B2" s="236"/>
      <c r="C2" s="236"/>
      <c r="D2" s="282" t="s">
        <v>221</v>
      </c>
      <c r="E2" s="282"/>
      <c r="F2" s="236"/>
      <c r="G2" s="236"/>
      <c r="H2" s="236"/>
      <c r="I2" s="237"/>
    </row>
    <row r="3" spans="1:9" x14ac:dyDescent="0.25">
      <c r="A3" s="72"/>
      <c r="B3" s="1"/>
      <c r="C3" s="1"/>
      <c r="D3" s="1"/>
      <c r="E3" s="1"/>
      <c r="F3" s="1"/>
      <c r="G3" s="1"/>
      <c r="H3" s="1"/>
      <c r="I3" s="73"/>
    </row>
    <row r="4" spans="1:9" x14ac:dyDescent="0.25">
      <c r="A4" s="241" t="s">
        <v>224</v>
      </c>
      <c r="B4" s="236"/>
      <c r="C4" s="236"/>
      <c r="D4" s="282" t="s">
        <v>221</v>
      </c>
      <c r="E4" s="282"/>
      <c r="I4" s="73"/>
    </row>
    <row r="5" spans="1:9" x14ac:dyDescent="0.25">
      <c r="A5" s="241" t="s">
        <v>225</v>
      </c>
      <c r="B5" s="236"/>
      <c r="C5" s="236"/>
      <c r="D5" s="282" t="s">
        <v>221</v>
      </c>
      <c r="E5" s="282"/>
      <c r="F5" s="1"/>
      <c r="G5" s="1"/>
      <c r="H5" s="1"/>
      <c r="I5" s="73"/>
    </row>
    <row r="6" spans="1:9" x14ac:dyDescent="0.25">
      <c r="A6" s="72"/>
      <c r="B6" s="1"/>
      <c r="C6" s="1"/>
      <c r="D6" s="1"/>
      <c r="E6" s="1"/>
      <c r="F6" s="1"/>
      <c r="G6" s="1"/>
      <c r="H6" s="1"/>
      <c r="I6" s="73"/>
    </row>
    <row r="7" spans="1:9" x14ac:dyDescent="0.25">
      <c r="A7" s="241" t="s">
        <v>226</v>
      </c>
      <c r="B7" s="236"/>
      <c r="C7" s="236"/>
      <c r="D7" s="282" t="s">
        <v>221</v>
      </c>
      <c r="E7" s="282"/>
      <c r="I7" s="73"/>
    </row>
    <row r="8" spans="1:9" x14ac:dyDescent="0.25">
      <c r="A8" s="72"/>
      <c r="B8" s="1"/>
      <c r="C8" s="1"/>
      <c r="D8" s="1"/>
      <c r="E8" s="1"/>
      <c r="F8" s="1"/>
      <c r="G8" s="1"/>
      <c r="H8" s="1"/>
      <c r="I8" s="73"/>
    </row>
    <row r="9" spans="1:9" x14ac:dyDescent="0.25">
      <c r="A9" s="241" t="s">
        <v>227</v>
      </c>
      <c r="B9" s="236"/>
      <c r="C9" s="236"/>
      <c r="D9" s="282" t="s">
        <v>221</v>
      </c>
      <c r="E9" s="282"/>
      <c r="I9" s="73"/>
    </row>
    <row r="10" spans="1:9" x14ac:dyDescent="0.25">
      <c r="A10" s="72"/>
      <c r="B10" s="1"/>
      <c r="C10" s="1"/>
      <c r="D10" s="1"/>
      <c r="E10" s="1"/>
      <c r="F10" s="1"/>
      <c r="G10" s="1"/>
      <c r="H10" s="1"/>
      <c r="I10" s="73"/>
    </row>
    <row r="11" spans="1:9" x14ac:dyDescent="0.25">
      <c r="A11" s="241" t="s">
        <v>228</v>
      </c>
      <c r="B11" s="236"/>
      <c r="C11" s="236"/>
      <c r="D11" s="282" t="s">
        <v>221</v>
      </c>
      <c r="E11" s="282"/>
      <c r="I11" s="73"/>
    </row>
    <row r="12" spans="1:9" x14ac:dyDescent="0.25">
      <c r="A12" s="72" t="s">
        <v>246</v>
      </c>
      <c r="B12" s="1"/>
      <c r="C12" s="1"/>
      <c r="D12" s="1"/>
      <c r="E12" s="1"/>
      <c r="F12" s="1"/>
      <c r="G12" s="1"/>
      <c r="H12" s="1"/>
      <c r="I12" s="73"/>
    </row>
    <row r="13" spans="1:9" x14ac:dyDescent="0.25">
      <c r="A13" s="241" t="s">
        <v>229</v>
      </c>
      <c r="B13" s="236"/>
      <c r="C13" s="236"/>
      <c r="D13" s="282" t="s">
        <v>221</v>
      </c>
      <c r="E13" s="282"/>
      <c r="I13" s="73"/>
    </row>
    <row r="14" spans="1:9" x14ac:dyDescent="0.25">
      <c r="A14" s="72"/>
      <c r="B14" s="1"/>
      <c r="C14" s="1"/>
      <c r="D14" s="1"/>
      <c r="E14" s="1"/>
      <c r="F14" s="1"/>
      <c r="G14" s="1"/>
      <c r="H14" s="1"/>
      <c r="I14" s="73"/>
    </row>
    <row r="15" spans="1:9" x14ac:dyDescent="0.25">
      <c r="A15" s="241" t="s">
        <v>230</v>
      </c>
      <c r="B15" s="236"/>
      <c r="C15" s="236"/>
      <c r="D15" s="282" t="s">
        <v>221</v>
      </c>
      <c r="E15" s="282"/>
      <c r="I15" s="73"/>
    </row>
    <row r="16" spans="1:9" x14ac:dyDescent="0.25">
      <c r="A16" s="72"/>
      <c r="B16" s="1"/>
      <c r="C16" s="1"/>
      <c r="D16" s="1"/>
      <c r="E16" s="1"/>
      <c r="F16" s="1"/>
      <c r="G16" s="1"/>
      <c r="H16" s="1"/>
      <c r="I16" s="73"/>
    </row>
    <row r="17" spans="1:9" x14ac:dyDescent="0.25">
      <c r="A17" s="240" t="s">
        <v>231</v>
      </c>
      <c r="B17" s="238"/>
      <c r="C17" s="238"/>
      <c r="D17" s="238"/>
      <c r="E17" s="238"/>
      <c r="F17" s="238"/>
      <c r="G17" s="238"/>
      <c r="H17" s="238"/>
      <c r="I17" s="239"/>
    </row>
    <row r="22" spans="1:9" x14ac:dyDescent="0.25">
      <c r="A22" s="80" t="s">
        <v>219</v>
      </c>
    </row>
    <row r="23" spans="1:9" x14ac:dyDescent="0.25">
      <c r="A23" s="80" t="s">
        <v>218</v>
      </c>
    </row>
    <row r="25" spans="1:9" x14ac:dyDescent="0.25">
      <c r="A25" t="s">
        <v>244</v>
      </c>
    </row>
    <row r="26" spans="1:9" x14ac:dyDescent="0.25">
      <c r="A26" t="s">
        <v>240</v>
      </c>
    </row>
    <row r="27" spans="1:9" x14ac:dyDescent="0.25">
      <c r="A27" t="s">
        <v>254</v>
      </c>
    </row>
  </sheetData>
  <mergeCells count="9">
    <mergeCell ref="A1:I1"/>
    <mergeCell ref="D13:E13"/>
    <mergeCell ref="D15:E15"/>
    <mergeCell ref="D2:E2"/>
    <mergeCell ref="D4:E4"/>
    <mergeCell ref="D7:E7"/>
    <mergeCell ref="D5:E5"/>
    <mergeCell ref="D9:E9"/>
    <mergeCell ref="D11:E11"/>
  </mergeCells>
  <hyperlinks>
    <hyperlink ref="D2:E2" location="Retirement_Inputs!B3" display="Click here" xr:uid="{429301FC-7519-452D-84A5-BE98B87F21F1}"/>
    <hyperlink ref="D4:E4" location="'Staggered Goals(All) Planner'!B6" display="Click here" xr:uid="{A35991D7-9FC9-40C2-BA63-1F860196AC85}"/>
    <hyperlink ref="D7:E7" location="'Staggered Goals(All) Planner'!B60" display="Click here" xr:uid="{5BF2BAD8-728D-44F4-9C6A-D19F879F8D90}"/>
    <hyperlink ref="D5:E5" location="'Staggered Goals(All) Planner'!B28" display="Click here" xr:uid="{B568A99D-330B-43C3-801B-DF0279DF2A98}"/>
    <hyperlink ref="D9:E9" location="Retirement_Inputs!B22" display="Click here" xr:uid="{44B54093-06A4-4C07-B678-B6ACD183199E}"/>
    <hyperlink ref="D11:E11" location="Retirement_Inputs!B47" display="Click here" xr:uid="{67629F49-A132-4D44-ABCE-10FF2207F442}"/>
    <hyperlink ref="D13:E13" location="'Subjective Stress Reducer'!C4" display="Click here" xr:uid="{2332C37B-E123-48D9-9939-AEC6BE7B23D2}"/>
    <hyperlink ref="D15:E15" location="'Staggered Goals(All) Planner'!C4" display="Click here" xr:uid="{F52CC263-1B6A-48BA-BF92-4F3855C639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0"/>
  <sheetViews>
    <sheetView tabSelected="1" topLeftCell="A6" zoomScaleNormal="100" workbookViewId="0">
      <selection activeCell="B38" sqref="B38"/>
    </sheetView>
  </sheetViews>
  <sheetFormatPr defaultRowHeight="15" x14ac:dyDescent="0.25"/>
  <cols>
    <col min="1" max="1" width="72.140625" customWidth="1"/>
    <col min="2" max="2" width="14.140625" style="101" bestFit="1" customWidth="1"/>
    <col min="3" max="3" width="66.5703125" customWidth="1"/>
    <col min="4" max="4" width="54.5703125" customWidth="1"/>
    <col min="5" max="5" width="9.28515625" bestFit="1" customWidth="1"/>
    <col min="257" max="257" width="72.140625" customWidth="1"/>
    <col min="258" max="258" width="13.42578125" bestFit="1" customWidth="1"/>
    <col min="259" max="259" width="58.85546875" bestFit="1" customWidth="1"/>
    <col min="261" max="261" width="9.28515625" bestFit="1" customWidth="1"/>
    <col min="513" max="513" width="72.140625" customWidth="1"/>
    <col min="514" max="514" width="13.42578125" bestFit="1" customWidth="1"/>
    <col min="515" max="515" width="58.85546875" bestFit="1" customWidth="1"/>
    <col min="517" max="517" width="9.28515625" bestFit="1" customWidth="1"/>
    <col min="769" max="769" width="72.140625" customWidth="1"/>
    <col min="770" max="770" width="13.42578125" bestFit="1" customWidth="1"/>
    <col min="771" max="771" width="58.85546875" bestFit="1" customWidth="1"/>
    <col min="773" max="773" width="9.28515625" bestFit="1" customWidth="1"/>
    <col min="1025" max="1025" width="72.140625" customWidth="1"/>
    <col min="1026" max="1026" width="13.42578125" bestFit="1" customWidth="1"/>
    <col min="1027" max="1027" width="58.85546875" bestFit="1" customWidth="1"/>
    <col min="1029" max="1029" width="9.28515625" bestFit="1" customWidth="1"/>
    <col min="1281" max="1281" width="72.140625" customWidth="1"/>
    <col min="1282" max="1282" width="13.42578125" bestFit="1" customWidth="1"/>
    <col min="1283" max="1283" width="58.85546875" bestFit="1" customWidth="1"/>
    <col min="1285" max="1285" width="9.28515625" bestFit="1" customWidth="1"/>
    <col min="1537" max="1537" width="72.140625" customWidth="1"/>
    <col min="1538" max="1538" width="13.42578125" bestFit="1" customWidth="1"/>
    <col min="1539" max="1539" width="58.85546875" bestFit="1" customWidth="1"/>
    <col min="1541" max="1541" width="9.28515625" bestFit="1" customWidth="1"/>
    <col min="1793" max="1793" width="72.140625" customWidth="1"/>
    <col min="1794" max="1794" width="13.42578125" bestFit="1" customWidth="1"/>
    <col min="1795" max="1795" width="58.85546875" bestFit="1" customWidth="1"/>
    <col min="1797" max="1797" width="9.28515625" bestFit="1" customWidth="1"/>
    <col min="2049" max="2049" width="72.140625" customWidth="1"/>
    <col min="2050" max="2050" width="13.42578125" bestFit="1" customWidth="1"/>
    <col min="2051" max="2051" width="58.85546875" bestFit="1" customWidth="1"/>
    <col min="2053" max="2053" width="9.28515625" bestFit="1" customWidth="1"/>
    <col min="2305" max="2305" width="72.140625" customWidth="1"/>
    <col min="2306" max="2306" width="13.42578125" bestFit="1" customWidth="1"/>
    <col min="2307" max="2307" width="58.85546875" bestFit="1" customWidth="1"/>
    <col min="2309" max="2309" width="9.28515625" bestFit="1" customWidth="1"/>
    <col min="2561" max="2561" width="72.140625" customWidth="1"/>
    <col min="2562" max="2562" width="13.42578125" bestFit="1" customWidth="1"/>
    <col min="2563" max="2563" width="58.85546875" bestFit="1" customWidth="1"/>
    <col min="2565" max="2565" width="9.28515625" bestFit="1" customWidth="1"/>
    <col min="2817" max="2817" width="72.140625" customWidth="1"/>
    <col min="2818" max="2818" width="13.42578125" bestFit="1" customWidth="1"/>
    <col min="2819" max="2819" width="58.85546875" bestFit="1" customWidth="1"/>
    <col min="2821" max="2821" width="9.28515625" bestFit="1" customWidth="1"/>
    <col min="3073" max="3073" width="72.140625" customWidth="1"/>
    <col min="3074" max="3074" width="13.42578125" bestFit="1" customWidth="1"/>
    <col min="3075" max="3075" width="58.85546875" bestFit="1" customWidth="1"/>
    <col min="3077" max="3077" width="9.28515625" bestFit="1" customWidth="1"/>
    <col min="3329" max="3329" width="72.140625" customWidth="1"/>
    <col min="3330" max="3330" width="13.42578125" bestFit="1" customWidth="1"/>
    <col min="3331" max="3331" width="58.85546875" bestFit="1" customWidth="1"/>
    <col min="3333" max="3333" width="9.28515625" bestFit="1" customWidth="1"/>
    <col min="3585" max="3585" width="72.140625" customWidth="1"/>
    <col min="3586" max="3586" width="13.42578125" bestFit="1" customWidth="1"/>
    <col min="3587" max="3587" width="58.85546875" bestFit="1" customWidth="1"/>
    <col min="3589" max="3589" width="9.28515625" bestFit="1" customWidth="1"/>
    <col min="3841" max="3841" width="72.140625" customWidth="1"/>
    <col min="3842" max="3842" width="13.42578125" bestFit="1" customWidth="1"/>
    <col min="3843" max="3843" width="58.85546875" bestFit="1" customWidth="1"/>
    <col min="3845" max="3845" width="9.28515625" bestFit="1" customWidth="1"/>
    <col min="4097" max="4097" width="72.140625" customWidth="1"/>
    <col min="4098" max="4098" width="13.42578125" bestFit="1" customWidth="1"/>
    <col min="4099" max="4099" width="58.85546875" bestFit="1" customWidth="1"/>
    <col min="4101" max="4101" width="9.28515625" bestFit="1" customWidth="1"/>
    <col min="4353" max="4353" width="72.140625" customWidth="1"/>
    <col min="4354" max="4354" width="13.42578125" bestFit="1" customWidth="1"/>
    <col min="4355" max="4355" width="58.85546875" bestFit="1" customWidth="1"/>
    <col min="4357" max="4357" width="9.28515625" bestFit="1" customWidth="1"/>
    <col min="4609" max="4609" width="72.140625" customWidth="1"/>
    <col min="4610" max="4610" width="13.42578125" bestFit="1" customWidth="1"/>
    <col min="4611" max="4611" width="58.85546875" bestFit="1" customWidth="1"/>
    <col min="4613" max="4613" width="9.28515625" bestFit="1" customWidth="1"/>
    <col min="4865" max="4865" width="72.140625" customWidth="1"/>
    <col min="4866" max="4866" width="13.42578125" bestFit="1" customWidth="1"/>
    <col min="4867" max="4867" width="58.85546875" bestFit="1" customWidth="1"/>
    <col min="4869" max="4869" width="9.28515625" bestFit="1" customWidth="1"/>
    <col min="5121" max="5121" width="72.140625" customWidth="1"/>
    <col min="5122" max="5122" width="13.42578125" bestFit="1" customWidth="1"/>
    <col min="5123" max="5123" width="58.85546875" bestFit="1" customWidth="1"/>
    <col min="5125" max="5125" width="9.28515625" bestFit="1" customWidth="1"/>
    <col min="5377" max="5377" width="72.140625" customWidth="1"/>
    <col min="5378" max="5378" width="13.42578125" bestFit="1" customWidth="1"/>
    <col min="5379" max="5379" width="58.85546875" bestFit="1" customWidth="1"/>
    <col min="5381" max="5381" width="9.28515625" bestFit="1" customWidth="1"/>
    <col min="5633" max="5633" width="72.140625" customWidth="1"/>
    <col min="5634" max="5634" width="13.42578125" bestFit="1" customWidth="1"/>
    <col min="5635" max="5635" width="58.85546875" bestFit="1" customWidth="1"/>
    <col min="5637" max="5637" width="9.28515625" bestFit="1" customWidth="1"/>
    <col min="5889" max="5889" width="72.140625" customWidth="1"/>
    <col min="5890" max="5890" width="13.42578125" bestFit="1" customWidth="1"/>
    <col min="5891" max="5891" width="58.85546875" bestFit="1" customWidth="1"/>
    <col min="5893" max="5893" width="9.28515625" bestFit="1" customWidth="1"/>
    <col min="6145" max="6145" width="72.140625" customWidth="1"/>
    <col min="6146" max="6146" width="13.42578125" bestFit="1" customWidth="1"/>
    <col min="6147" max="6147" width="58.85546875" bestFit="1" customWidth="1"/>
    <col min="6149" max="6149" width="9.28515625" bestFit="1" customWidth="1"/>
    <col min="6401" max="6401" width="72.140625" customWidth="1"/>
    <col min="6402" max="6402" width="13.42578125" bestFit="1" customWidth="1"/>
    <col min="6403" max="6403" width="58.85546875" bestFit="1" customWidth="1"/>
    <col min="6405" max="6405" width="9.28515625" bestFit="1" customWidth="1"/>
    <col min="6657" max="6657" width="72.140625" customWidth="1"/>
    <col min="6658" max="6658" width="13.42578125" bestFit="1" customWidth="1"/>
    <col min="6659" max="6659" width="58.85546875" bestFit="1" customWidth="1"/>
    <col min="6661" max="6661" width="9.28515625" bestFit="1" customWidth="1"/>
    <col min="6913" max="6913" width="72.140625" customWidth="1"/>
    <col min="6914" max="6914" width="13.42578125" bestFit="1" customWidth="1"/>
    <col min="6915" max="6915" width="58.85546875" bestFit="1" customWidth="1"/>
    <col min="6917" max="6917" width="9.28515625" bestFit="1" customWidth="1"/>
    <col min="7169" max="7169" width="72.140625" customWidth="1"/>
    <col min="7170" max="7170" width="13.42578125" bestFit="1" customWidth="1"/>
    <col min="7171" max="7171" width="58.85546875" bestFit="1" customWidth="1"/>
    <col min="7173" max="7173" width="9.28515625" bestFit="1" customWidth="1"/>
    <col min="7425" max="7425" width="72.140625" customWidth="1"/>
    <col min="7426" max="7426" width="13.42578125" bestFit="1" customWidth="1"/>
    <col min="7427" max="7427" width="58.85546875" bestFit="1" customWidth="1"/>
    <col min="7429" max="7429" width="9.28515625" bestFit="1" customWidth="1"/>
    <col min="7681" max="7681" width="72.140625" customWidth="1"/>
    <col min="7682" max="7682" width="13.42578125" bestFit="1" customWidth="1"/>
    <col min="7683" max="7683" width="58.85546875" bestFit="1" customWidth="1"/>
    <col min="7685" max="7685" width="9.28515625" bestFit="1" customWidth="1"/>
    <col min="7937" max="7937" width="72.140625" customWidth="1"/>
    <col min="7938" max="7938" width="13.42578125" bestFit="1" customWidth="1"/>
    <col min="7939" max="7939" width="58.85546875" bestFit="1" customWidth="1"/>
    <col min="7941" max="7941" width="9.28515625" bestFit="1" customWidth="1"/>
    <col min="8193" max="8193" width="72.140625" customWidth="1"/>
    <col min="8194" max="8194" width="13.42578125" bestFit="1" customWidth="1"/>
    <col min="8195" max="8195" width="58.85546875" bestFit="1" customWidth="1"/>
    <col min="8197" max="8197" width="9.28515625" bestFit="1" customWidth="1"/>
    <col min="8449" max="8449" width="72.140625" customWidth="1"/>
    <col min="8450" max="8450" width="13.42578125" bestFit="1" customWidth="1"/>
    <col min="8451" max="8451" width="58.85546875" bestFit="1" customWidth="1"/>
    <col min="8453" max="8453" width="9.28515625" bestFit="1" customWidth="1"/>
    <col min="8705" max="8705" width="72.140625" customWidth="1"/>
    <col min="8706" max="8706" width="13.42578125" bestFit="1" customWidth="1"/>
    <col min="8707" max="8707" width="58.85546875" bestFit="1" customWidth="1"/>
    <col min="8709" max="8709" width="9.28515625" bestFit="1" customWidth="1"/>
    <col min="8961" max="8961" width="72.140625" customWidth="1"/>
    <col min="8962" max="8962" width="13.42578125" bestFit="1" customWidth="1"/>
    <col min="8963" max="8963" width="58.85546875" bestFit="1" customWidth="1"/>
    <col min="8965" max="8965" width="9.28515625" bestFit="1" customWidth="1"/>
    <col min="9217" max="9217" width="72.140625" customWidth="1"/>
    <col min="9218" max="9218" width="13.42578125" bestFit="1" customWidth="1"/>
    <col min="9219" max="9219" width="58.85546875" bestFit="1" customWidth="1"/>
    <col min="9221" max="9221" width="9.28515625" bestFit="1" customWidth="1"/>
    <col min="9473" max="9473" width="72.140625" customWidth="1"/>
    <col min="9474" max="9474" width="13.42578125" bestFit="1" customWidth="1"/>
    <col min="9475" max="9475" width="58.85546875" bestFit="1" customWidth="1"/>
    <col min="9477" max="9477" width="9.28515625" bestFit="1" customWidth="1"/>
    <col min="9729" max="9729" width="72.140625" customWidth="1"/>
    <col min="9730" max="9730" width="13.42578125" bestFit="1" customWidth="1"/>
    <col min="9731" max="9731" width="58.85546875" bestFit="1" customWidth="1"/>
    <col min="9733" max="9733" width="9.28515625" bestFit="1" customWidth="1"/>
    <col min="9985" max="9985" width="72.140625" customWidth="1"/>
    <col min="9986" max="9986" width="13.42578125" bestFit="1" customWidth="1"/>
    <col min="9987" max="9987" width="58.85546875" bestFit="1" customWidth="1"/>
    <col min="9989" max="9989" width="9.28515625" bestFit="1" customWidth="1"/>
    <col min="10241" max="10241" width="72.140625" customWidth="1"/>
    <col min="10242" max="10242" width="13.42578125" bestFit="1" customWidth="1"/>
    <col min="10243" max="10243" width="58.85546875" bestFit="1" customWidth="1"/>
    <col min="10245" max="10245" width="9.28515625" bestFit="1" customWidth="1"/>
    <col min="10497" max="10497" width="72.140625" customWidth="1"/>
    <col min="10498" max="10498" width="13.42578125" bestFit="1" customWidth="1"/>
    <col min="10499" max="10499" width="58.85546875" bestFit="1" customWidth="1"/>
    <col min="10501" max="10501" width="9.28515625" bestFit="1" customWidth="1"/>
    <col min="10753" max="10753" width="72.140625" customWidth="1"/>
    <col min="10754" max="10754" width="13.42578125" bestFit="1" customWidth="1"/>
    <col min="10755" max="10755" width="58.85546875" bestFit="1" customWidth="1"/>
    <col min="10757" max="10757" width="9.28515625" bestFit="1" customWidth="1"/>
    <col min="11009" max="11009" width="72.140625" customWidth="1"/>
    <col min="11010" max="11010" width="13.42578125" bestFit="1" customWidth="1"/>
    <col min="11011" max="11011" width="58.85546875" bestFit="1" customWidth="1"/>
    <col min="11013" max="11013" width="9.28515625" bestFit="1" customWidth="1"/>
    <col min="11265" max="11265" width="72.140625" customWidth="1"/>
    <col min="11266" max="11266" width="13.42578125" bestFit="1" customWidth="1"/>
    <col min="11267" max="11267" width="58.85546875" bestFit="1" customWidth="1"/>
    <col min="11269" max="11269" width="9.28515625" bestFit="1" customWidth="1"/>
    <col min="11521" max="11521" width="72.140625" customWidth="1"/>
    <col min="11522" max="11522" width="13.42578125" bestFit="1" customWidth="1"/>
    <col min="11523" max="11523" width="58.85546875" bestFit="1" customWidth="1"/>
    <col min="11525" max="11525" width="9.28515625" bestFit="1" customWidth="1"/>
    <col min="11777" max="11777" width="72.140625" customWidth="1"/>
    <col min="11778" max="11778" width="13.42578125" bestFit="1" customWidth="1"/>
    <col min="11779" max="11779" width="58.85546875" bestFit="1" customWidth="1"/>
    <col min="11781" max="11781" width="9.28515625" bestFit="1" customWidth="1"/>
    <col min="12033" max="12033" width="72.140625" customWidth="1"/>
    <col min="12034" max="12034" width="13.42578125" bestFit="1" customWidth="1"/>
    <col min="12035" max="12035" width="58.85546875" bestFit="1" customWidth="1"/>
    <col min="12037" max="12037" width="9.28515625" bestFit="1" customWidth="1"/>
    <col min="12289" max="12289" width="72.140625" customWidth="1"/>
    <col min="12290" max="12290" width="13.42578125" bestFit="1" customWidth="1"/>
    <col min="12291" max="12291" width="58.85546875" bestFit="1" customWidth="1"/>
    <col min="12293" max="12293" width="9.28515625" bestFit="1" customWidth="1"/>
    <col min="12545" max="12545" width="72.140625" customWidth="1"/>
    <col min="12546" max="12546" width="13.42578125" bestFit="1" customWidth="1"/>
    <col min="12547" max="12547" width="58.85546875" bestFit="1" customWidth="1"/>
    <col min="12549" max="12549" width="9.28515625" bestFit="1" customWidth="1"/>
    <col min="12801" max="12801" width="72.140625" customWidth="1"/>
    <col min="12802" max="12802" width="13.42578125" bestFit="1" customWidth="1"/>
    <col min="12803" max="12803" width="58.85546875" bestFit="1" customWidth="1"/>
    <col min="12805" max="12805" width="9.28515625" bestFit="1" customWidth="1"/>
    <col min="13057" max="13057" width="72.140625" customWidth="1"/>
    <col min="13058" max="13058" width="13.42578125" bestFit="1" customWidth="1"/>
    <col min="13059" max="13059" width="58.85546875" bestFit="1" customWidth="1"/>
    <col min="13061" max="13061" width="9.28515625" bestFit="1" customWidth="1"/>
    <col min="13313" max="13313" width="72.140625" customWidth="1"/>
    <col min="13314" max="13314" width="13.42578125" bestFit="1" customWidth="1"/>
    <col min="13315" max="13315" width="58.85546875" bestFit="1" customWidth="1"/>
    <col min="13317" max="13317" width="9.28515625" bestFit="1" customWidth="1"/>
    <col min="13569" max="13569" width="72.140625" customWidth="1"/>
    <col min="13570" max="13570" width="13.42578125" bestFit="1" customWidth="1"/>
    <col min="13571" max="13571" width="58.85546875" bestFit="1" customWidth="1"/>
    <col min="13573" max="13573" width="9.28515625" bestFit="1" customWidth="1"/>
    <col min="13825" max="13825" width="72.140625" customWidth="1"/>
    <col min="13826" max="13826" width="13.42578125" bestFit="1" customWidth="1"/>
    <col min="13827" max="13827" width="58.85546875" bestFit="1" customWidth="1"/>
    <col min="13829" max="13829" width="9.28515625" bestFit="1" customWidth="1"/>
    <col min="14081" max="14081" width="72.140625" customWidth="1"/>
    <col min="14082" max="14082" width="13.42578125" bestFit="1" customWidth="1"/>
    <col min="14083" max="14083" width="58.85546875" bestFit="1" customWidth="1"/>
    <col min="14085" max="14085" width="9.28515625" bestFit="1" customWidth="1"/>
    <col min="14337" max="14337" width="72.140625" customWidth="1"/>
    <col min="14338" max="14338" width="13.42578125" bestFit="1" customWidth="1"/>
    <col min="14339" max="14339" width="58.85546875" bestFit="1" customWidth="1"/>
    <col min="14341" max="14341" width="9.28515625" bestFit="1" customWidth="1"/>
    <col min="14593" max="14593" width="72.140625" customWidth="1"/>
    <col min="14594" max="14594" width="13.42578125" bestFit="1" customWidth="1"/>
    <col min="14595" max="14595" width="58.85546875" bestFit="1" customWidth="1"/>
    <col min="14597" max="14597" width="9.28515625" bestFit="1" customWidth="1"/>
    <col min="14849" max="14849" width="72.140625" customWidth="1"/>
    <col min="14850" max="14850" width="13.42578125" bestFit="1" customWidth="1"/>
    <col min="14851" max="14851" width="58.85546875" bestFit="1" customWidth="1"/>
    <col min="14853" max="14853" width="9.28515625" bestFit="1" customWidth="1"/>
    <col min="15105" max="15105" width="72.140625" customWidth="1"/>
    <col min="15106" max="15106" width="13.42578125" bestFit="1" customWidth="1"/>
    <col min="15107" max="15107" width="58.85546875" bestFit="1" customWidth="1"/>
    <col min="15109" max="15109" width="9.28515625" bestFit="1" customWidth="1"/>
    <col min="15361" max="15361" width="72.140625" customWidth="1"/>
    <col min="15362" max="15362" width="13.42578125" bestFit="1" customWidth="1"/>
    <col min="15363" max="15363" width="58.85546875" bestFit="1" customWidth="1"/>
    <col min="15365" max="15365" width="9.28515625" bestFit="1" customWidth="1"/>
    <col min="15617" max="15617" width="72.140625" customWidth="1"/>
    <col min="15618" max="15618" width="13.42578125" bestFit="1" customWidth="1"/>
    <col min="15619" max="15619" width="58.85546875" bestFit="1" customWidth="1"/>
    <col min="15621" max="15621" width="9.28515625" bestFit="1" customWidth="1"/>
    <col min="15873" max="15873" width="72.140625" customWidth="1"/>
    <col min="15874" max="15874" width="13.42578125" bestFit="1" customWidth="1"/>
    <col min="15875" max="15875" width="58.85546875" bestFit="1" customWidth="1"/>
    <col min="15877" max="15877" width="9.28515625" bestFit="1" customWidth="1"/>
    <col min="16129" max="16129" width="72.140625" customWidth="1"/>
    <col min="16130" max="16130" width="13.42578125" bestFit="1" customWidth="1"/>
    <col min="16131" max="16131" width="58.85546875" bestFit="1" customWidth="1"/>
    <col min="16133" max="16133" width="9.28515625" bestFit="1" customWidth="1"/>
  </cols>
  <sheetData>
    <row r="1" spans="1:81" ht="19.5" thickBot="1" x14ac:dyDescent="0.35">
      <c r="A1" s="283" t="s">
        <v>174</v>
      </c>
      <c r="B1" s="284"/>
      <c r="C1" s="285"/>
      <c r="D1" s="79" t="s">
        <v>175</v>
      </c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</row>
    <row r="2" spans="1:81" ht="18.75" x14ac:dyDescent="0.3">
      <c r="A2" s="243" t="s">
        <v>111</v>
      </c>
      <c r="B2" s="82"/>
      <c r="C2" s="83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</row>
    <row r="3" spans="1:81" ht="30" x14ac:dyDescent="0.25">
      <c r="A3" s="26" t="s">
        <v>56</v>
      </c>
      <c r="B3" s="84">
        <v>50000</v>
      </c>
      <c r="C3" s="273" t="s">
        <v>167</v>
      </c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</row>
    <row r="4" spans="1:81" ht="15" customHeight="1" x14ac:dyDescent="0.25">
      <c r="A4" s="85"/>
      <c r="B4" s="82"/>
      <c r="C4" t="s">
        <v>212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</row>
    <row r="5" spans="1:81" ht="15" customHeight="1" x14ac:dyDescent="0.25">
      <c r="A5" s="85"/>
      <c r="B5" s="82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</row>
    <row r="6" spans="1:81" x14ac:dyDescent="0.25">
      <c r="A6" s="101" t="s">
        <v>140</v>
      </c>
      <c r="B6" s="244">
        <f ca="1">YEAR(TODAY())</f>
        <v>2019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</row>
    <row r="7" spans="1:81" ht="28.5" customHeight="1" x14ac:dyDescent="0.25">
      <c r="A7" s="26" t="s">
        <v>57</v>
      </c>
      <c r="B7" s="113">
        <v>0.08</v>
      </c>
      <c r="C7" s="87" t="s">
        <v>58</v>
      </c>
      <c r="D7" s="209" t="s">
        <v>235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</row>
    <row r="8" spans="1:81" ht="15" customHeight="1" x14ac:dyDescent="0.25">
      <c r="A8" s="26" t="s">
        <v>59</v>
      </c>
      <c r="B8" s="88">
        <v>40</v>
      </c>
      <c r="C8" s="83" t="s">
        <v>241</v>
      </c>
      <c r="D8" s="288" t="s">
        <v>245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</row>
    <row r="9" spans="1:81" x14ac:dyDescent="0.25">
      <c r="A9" s="26" t="s">
        <v>165</v>
      </c>
      <c r="B9" s="88">
        <v>48</v>
      </c>
      <c r="C9" s="83"/>
      <c r="D9" s="288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</row>
    <row r="10" spans="1:81" x14ac:dyDescent="0.25">
      <c r="A10" s="26" t="s">
        <v>60</v>
      </c>
      <c r="B10" s="88">
        <v>93</v>
      </c>
      <c r="C10" s="87" t="s">
        <v>213</v>
      </c>
      <c r="D10" s="28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</row>
    <row r="11" spans="1:81" x14ac:dyDescent="0.25">
      <c r="A11" s="26" t="s">
        <v>61</v>
      </c>
      <c r="B11" s="19">
        <f>B9-B8</f>
        <v>8</v>
      </c>
      <c r="C11" s="83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</row>
    <row r="12" spans="1:81" x14ac:dyDescent="0.25">
      <c r="A12" s="26" t="s">
        <v>62</v>
      </c>
      <c r="B12" s="89">
        <f>B3*(1+B7)^B11</f>
        <v>92546.510514094116</v>
      </c>
      <c r="C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</row>
    <row r="13" spans="1:81" x14ac:dyDescent="0.25">
      <c r="A13" s="85"/>
      <c r="B13" s="82"/>
      <c r="C13" s="8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</row>
    <row r="14" spans="1:81" x14ac:dyDescent="0.25">
      <c r="A14" s="26" t="s">
        <v>184</v>
      </c>
      <c r="B14" s="78">
        <f>B10-B9</f>
        <v>45</v>
      </c>
      <c r="C14" s="91" t="s">
        <v>63</v>
      </c>
      <c r="D14" s="80" t="s">
        <v>236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</row>
    <row r="15" spans="1:81" x14ac:dyDescent="0.25">
      <c r="A15" s="26" t="s">
        <v>64</v>
      </c>
      <c r="B15" s="113">
        <v>0.08</v>
      </c>
      <c r="C15" s="91" t="s">
        <v>65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</row>
    <row r="16" spans="1:81" x14ac:dyDescent="0.25">
      <c r="A16" s="26" t="s">
        <v>66</v>
      </c>
      <c r="B16" s="86">
        <v>7.0000000000000007E-2</v>
      </c>
      <c r="C16" s="91" t="s">
        <v>185</v>
      </c>
      <c r="D16" s="80" t="s">
        <v>178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</row>
    <row r="17" spans="1:81" x14ac:dyDescent="0.25">
      <c r="A17" s="92" t="s">
        <v>168</v>
      </c>
      <c r="B17" s="93"/>
      <c r="C17" s="9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</row>
    <row r="18" spans="1:81" x14ac:dyDescent="0.25">
      <c r="A18" s="94" t="s">
        <v>106</v>
      </c>
      <c r="B18" s="208">
        <f ca="1">SUM(YearlyCashFlow!N7:N90)</f>
        <v>49233124.36035227</v>
      </c>
      <c r="C18" s="91" t="s">
        <v>99</v>
      </c>
      <c r="D18" s="82"/>
      <c r="E18" s="80"/>
      <c r="F18" s="80"/>
      <c r="G18" s="80"/>
      <c r="H18" s="80"/>
      <c r="I18" s="80"/>
      <c r="J18" s="80"/>
      <c r="K18" s="80"/>
      <c r="L18" s="80"/>
    </row>
    <row r="19" spans="1:81" x14ac:dyDescent="0.25">
      <c r="A19" s="124" t="s">
        <v>100</v>
      </c>
      <c r="B19" s="125">
        <f ca="1">'0+10 Buckets income ladder'!F9</f>
        <v>35379410.464830026</v>
      </c>
      <c r="C19" s="110" t="s">
        <v>98</v>
      </c>
      <c r="D19" s="198"/>
      <c r="E19" s="80"/>
      <c r="F19" s="80"/>
      <c r="G19" s="80"/>
      <c r="H19" s="80"/>
      <c r="I19" s="80"/>
      <c r="J19" s="80"/>
      <c r="K19" s="80"/>
      <c r="L19" s="80"/>
    </row>
    <row r="20" spans="1:81" ht="15.75" x14ac:dyDescent="0.25">
      <c r="A20" s="248" t="s">
        <v>216</v>
      </c>
      <c r="B20" s="246">
        <f ca="1">(B18-B19)/B18</f>
        <v>0.28139010220279098</v>
      </c>
      <c r="D20" s="80"/>
      <c r="E20" s="80"/>
      <c r="F20" s="80"/>
      <c r="G20" s="80"/>
      <c r="H20" s="80"/>
      <c r="I20" s="80"/>
      <c r="J20" s="80"/>
      <c r="K20" s="80"/>
      <c r="L20" s="80"/>
    </row>
    <row r="21" spans="1:81" ht="15.75" x14ac:dyDescent="0.25">
      <c r="A21" s="242" t="s">
        <v>215</v>
      </c>
      <c r="B21" s="250"/>
      <c r="C21" s="96" t="s">
        <v>172</v>
      </c>
      <c r="D21" s="80"/>
      <c r="E21" s="80"/>
      <c r="F21" s="80"/>
      <c r="G21" s="80"/>
      <c r="H21" s="80"/>
      <c r="I21" s="80"/>
      <c r="J21" s="80"/>
      <c r="K21" s="80"/>
      <c r="L21" s="80"/>
    </row>
    <row r="22" spans="1:81" x14ac:dyDescent="0.25">
      <c r="A22" s="26" t="s">
        <v>67</v>
      </c>
      <c r="B22" s="113">
        <v>0.1</v>
      </c>
      <c r="C22" s="97" t="s">
        <v>209</v>
      </c>
      <c r="D22" s="80"/>
      <c r="E22" s="80"/>
      <c r="F22" s="80"/>
      <c r="G22" s="80"/>
      <c r="H22" s="80"/>
      <c r="I22" s="80"/>
      <c r="J22" s="80"/>
      <c r="K22" s="80"/>
      <c r="L22" s="80"/>
    </row>
    <row r="23" spans="1:81" x14ac:dyDescent="0.25">
      <c r="A23" s="26" t="s">
        <v>68</v>
      </c>
      <c r="B23" s="113">
        <v>0.06</v>
      </c>
      <c r="C23" s="91" t="s">
        <v>69</v>
      </c>
      <c r="D23" s="80"/>
      <c r="E23" s="80"/>
      <c r="F23" s="80"/>
      <c r="G23" s="80"/>
      <c r="H23" s="80"/>
      <c r="I23" s="80"/>
      <c r="J23" s="80"/>
      <c r="K23" s="80"/>
      <c r="L23" s="80"/>
    </row>
    <row r="24" spans="1:81" x14ac:dyDescent="0.25">
      <c r="A24" s="26" t="s">
        <v>70</v>
      </c>
      <c r="B24" s="113">
        <v>7.6999999999999999E-2</v>
      </c>
      <c r="C24" s="91" t="s">
        <v>210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81" x14ac:dyDescent="0.25">
      <c r="A25" s="85"/>
      <c r="B25" s="98"/>
      <c r="C25" s="83"/>
      <c r="D25" s="80"/>
      <c r="E25" s="80"/>
      <c r="F25" s="80"/>
      <c r="G25" s="80"/>
      <c r="H25" s="80"/>
      <c r="I25" s="80"/>
      <c r="J25" s="80"/>
      <c r="K25" s="80"/>
      <c r="L25" s="80"/>
    </row>
    <row r="26" spans="1:81" x14ac:dyDescent="0.25">
      <c r="A26" s="81" t="s">
        <v>71</v>
      </c>
      <c r="B26" s="82"/>
      <c r="C26" s="99" t="s">
        <v>72</v>
      </c>
      <c r="D26" s="80"/>
      <c r="E26" s="80"/>
      <c r="F26" s="80"/>
      <c r="G26" s="80"/>
      <c r="H26" s="80"/>
      <c r="I26" s="80"/>
      <c r="J26" s="80"/>
      <c r="K26" s="80"/>
      <c r="L26" s="80"/>
    </row>
    <row r="27" spans="1:81" x14ac:dyDescent="0.25">
      <c r="A27" s="26" t="s">
        <v>73</v>
      </c>
      <c r="B27" s="245">
        <v>6500000</v>
      </c>
      <c r="C27" s="95">
        <f>B27*(1+B22)^$B$11</f>
        <v>13933327.265000008</v>
      </c>
      <c r="D27" s="80"/>
      <c r="E27" s="80"/>
      <c r="F27" s="80"/>
      <c r="G27" s="80"/>
      <c r="H27" s="80"/>
      <c r="I27" s="80"/>
      <c r="J27" s="80"/>
      <c r="K27" s="80"/>
      <c r="L27" s="80"/>
    </row>
    <row r="28" spans="1:81" x14ac:dyDescent="0.25">
      <c r="A28" s="26" t="s">
        <v>74</v>
      </c>
      <c r="B28" s="245">
        <v>3500000</v>
      </c>
      <c r="C28" s="95">
        <f>B28*(1+B23)^$B$11</f>
        <v>5578468.2608579481</v>
      </c>
      <c r="D28" s="80"/>
      <c r="E28" s="80"/>
      <c r="F28" s="80"/>
      <c r="G28" s="80"/>
      <c r="H28" s="80"/>
      <c r="I28" s="80"/>
      <c r="J28" s="80"/>
      <c r="K28" s="80"/>
      <c r="L28" s="80"/>
    </row>
    <row r="29" spans="1:81" x14ac:dyDescent="0.25">
      <c r="A29" s="26" t="s">
        <v>75</v>
      </c>
      <c r="B29" s="245">
        <v>3000000</v>
      </c>
      <c r="C29" s="95">
        <f>B29*(1+B24)^$B$11</f>
        <v>5430588.3187000714</v>
      </c>
      <c r="D29" s="80" t="s">
        <v>234</v>
      </c>
      <c r="E29" s="80"/>
      <c r="F29" s="80"/>
      <c r="G29" s="80"/>
      <c r="H29" s="80"/>
      <c r="I29" s="80"/>
      <c r="J29" s="80"/>
      <c r="K29" s="80"/>
      <c r="L29" s="80"/>
    </row>
    <row r="30" spans="1:81" x14ac:dyDescent="0.25">
      <c r="A30" s="26" t="s">
        <v>76</v>
      </c>
      <c r="B30" s="245">
        <v>1800000</v>
      </c>
      <c r="C30" s="95">
        <f>B30</f>
        <v>1800000</v>
      </c>
      <c r="D30" s="80"/>
      <c r="E30" s="80"/>
      <c r="F30" s="80"/>
      <c r="G30" s="80"/>
      <c r="H30" s="80"/>
      <c r="I30" s="80"/>
      <c r="J30" s="80"/>
      <c r="K30" s="80"/>
      <c r="L30" s="80"/>
    </row>
    <row r="31" spans="1:81" x14ac:dyDescent="0.25">
      <c r="A31" s="100"/>
      <c r="C31" s="83"/>
      <c r="D31" s="80"/>
      <c r="E31" s="80"/>
      <c r="F31" s="80"/>
      <c r="G31" s="80"/>
      <c r="H31" s="80"/>
      <c r="I31" s="80"/>
      <c r="J31" s="80"/>
      <c r="K31" s="80"/>
      <c r="L31" s="80"/>
    </row>
    <row r="32" spans="1:81" x14ac:dyDescent="0.25">
      <c r="A32" s="26" t="s">
        <v>77</v>
      </c>
      <c r="B32" s="245">
        <v>20000</v>
      </c>
      <c r="C32" s="83" t="s">
        <v>214</v>
      </c>
      <c r="D32" s="80"/>
      <c r="E32" s="80"/>
      <c r="F32" s="80"/>
      <c r="G32" s="80"/>
      <c r="H32" s="80"/>
      <c r="I32" s="80"/>
      <c r="J32" s="80"/>
      <c r="K32" s="80"/>
      <c r="L32" s="80"/>
    </row>
    <row r="33" spans="1:12" x14ac:dyDescent="0.25">
      <c r="A33" s="26" t="s">
        <v>78</v>
      </c>
      <c r="B33" s="113">
        <v>0.05</v>
      </c>
      <c r="C33" s="102" t="s">
        <v>79</v>
      </c>
      <c r="E33" s="80"/>
      <c r="F33" s="80"/>
      <c r="G33" s="80"/>
      <c r="H33" s="80"/>
      <c r="I33" s="80"/>
      <c r="J33" s="80"/>
      <c r="K33" s="80"/>
      <c r="L33" s="80"/>
    </row>
    <row r="34" spans="1:12" x14ac:dyDescent="0.25">
      <c r="A34" s="26" t="s">
        <v>80</v>
      </c>
      <c r="B34" s="113">
        <v>8.5000000000000006E-2</v>
      </c>
      <c r="C34" s="95">
        <f>IF(B34=B33,B32*12*B11*(1+B34)^B11,B32*12*(1+B34)*((1+B34)^B11-(1+B33)^B11)/(B34-B33))</f>
        <v>3297027.7736585899</v>
      </c>
      <c r="D34" s="80" t="s">
        <v>233</v>
      </c>
      <c r="E34" s="80"/>
      <c r="F34" s="80"/>
      <c r="G34" s="80"/>
      <c r="H34" s="80"/>
      <c r="I34" s="80"/>
      <c r="J34" s="80"/>
      <c r="K34" s="80"/>
      <c r="L34" s="80"/>
    </row>
    <row r="35" spans="1:12" x14ac:dyDescent="0.25">
      <c r="A35" s="85"/>
      <c r="B35" s="82"/>
      <c r="C35" s="83"/>
      <c r="D35" s="198"/>
      <c r="E35" s="80"/>
      <c r="F35" s="80"/>
      <c r="G35" s="80"/>
      <c r="H35" s="80"/>
      <c r="I35" s="80"/>
      <c r="J35" s="80"/>
      <c r="K35" s="80"/>
      <c r="L35" s="80"/>
    </row>
    <row r="36" spans="1:12" x14ac:dyDescent="0.25">
      <c r="A36" s="92" t="s">
        <v>105</v>
      </c>
      <c r="B36" s="89">
        <f ca="1">B18-SUM(C27:C30)-C34</f>
        <v>19193712.742135655</v>
      </c>
      <c r="D36" s="80"/>
      <c r="E36" s="80"/>
      <c r="F36" s="80"/>
      <c r="G36" s="80"/>
      <c r="H36" s="80"/>
      <c r="I36" s="80"/>
      <c r="J36" s="80"/>
      <c r="K36" s="80"/>
      <c r="L36" s="80"/>
    </row>
    <row r="37" spans="1:12" x14ac:dyDescent="0.25">
      <c r="A37" s="126" t="s">
        <v>101</v>
      </c>
      <c r="B37" s="125">
        <f ca="1">B19-SUM(C27:C30)-C34</f>
        <v>5339998.846613409</v>
      </c>
      <c r="C37" s="83" t="s">
        <v>81</v>
      </c>
      <c r="D37" s="80"/>
      <c r="E37" s="80"/>
      <c r="F37" s="80"/>
      <c r="G37" s="80"/>
      <c r="H37" s="80"/>
      <c r="I37" s="80"/>
      <c r="J37" s="80"/>
      <c r="K37" s="80"/>
      <c r="L37" s="80"/>
    </row>
    <row r="38" spans="1:12" x14ac:dyDescent="0.25">
      <c r="A38" s="85" t="s">
        <v>82</v>
      </c>
      <c r="B38" s="125"/>
      <c r="C38" s="83"/>
      <c r="D38" s="80"/>
      <c r="E38" s="80"/>
      <c r="F38" s="80"/>
      <c r="G38" s="80"/>
      <c r="H38" s="80"/>
      <c r="I38" s="80"/>
      <c r="J38" s="80"/>
      <c r="K38" s="80"/>
      <c r="L38" s="80"/>
    </row>
    <row r="39" spans="1:12" x14ac:dyDescent="0.25">
      <c r="A39" s="85" t="s">
        <v>83</v>
      </c>
      <c r="B39" s="82"/>
      <c r="C39" s="83"/>
      <c r="D39" s="80"/>
      <c r="E39" s="80"/>
      <c r="F39" s="80"/>
      <c r="G39" s="80"/>
      <c r="H39" s="80"/>
      <c r="I39" s="80"/>
      <c r="J39" s="80"/>
      <c r="K39" s="80"/>
      <c r="L39" s="80"/>
    </row>
    <row r="40" spans="1:12" x14ac:dyDescent="0.25">
      <c r="A40" s="26" t="s">
        <v>84</v>
      </c>
      <c r="B40" s="104">
        <v>0.6</v>
      </c>
      <c r="C40" s="83" t="s">
        <v>85</v>
      </c>
      <c r="D40" s="80"/>
      <c r="E40" s="80"/>
      <c r="F40" s="80"/>
      <c r="G40" s="80"/>
      <c r="H40" s="80"/>
      <c r="I40" s="80"/>
      <c r="J40" s="80"/>
      <c r="K40" s="80"/>
      <c r="L40" s="80"/>
    </row>
    <row r="41" spans="1:12" x14ac:dyDescent="0.25">
      <c r="A41" s="26" t="s">
        <v>86</v>
      </c>
      <c r="B41" s="104">
        <v>0.35</v>
      </c>
      <c r="C41" s="83"/>
      <c r="D41" s="80"/>
      <c r="E41" s="80"/>
      <c r="F41" s="80"/>
      <c r="G41" s="80"/>
      <c r="H41" s="80"/>
      <c r="I41" s="80"/>
      <c r="J41" s="80"/>
      <c r="K41" s="80"/>
      <c r="L41" s="80"/>
    </row>
    <row r="42" spans="1:12" x14ac:dyDescent="0.25">
      <c r="A42" s="26" t="s">
        <v>87</v>
      </c>
      <c r="B42" s="104">
        <f>1-B40-B41</f>
        <v>5.0000000000000044E-2</v>
      </c>
      <c r="C42" s="83"/>
      <c r="D42" s="80"/>
      <c r="E42" s="80"/>
      <c r="F42" s="80"/>
      <c r="G42" s="80"/>
      <c r="H42" s="80"/>
      <c r="I42" s="80"/>
      <c r="J42" s="80"/>
      <c r="K42" s="80"/>
      <c r="L42" s="80"/>
    </row>
    <row r="43" spans="1:12" x14ac:dyDescent="0.25">
      <c r="A43" s="85"/>
      <c r="B43" s="103"/>
      <c r="C43" s="83"/>
      <c r="D43" s="80"/>
      <c r="E43" s="80"/>
      <c r="F43" s="80"/>
      <c r="G43" s="80"/>
      <c r="H43" s="80"/>
      <c r="I43" s="80"/>
      <c r="J43" s="80"/>
      <c r="K43" s="80"/>
      <c r="L43" s="80"/>
    </row>
    <row r="44" spans="1:12" x14ac:dyDescent="0.25">
      <c r="A44" s="26" t="s">
        <v>88</v>
      </c>
      <c r="B44" s="86">
        <v>0.05</v>
      </c>
      <c r="C44" s="91" t="s">
        <v>89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1:12" x14ac:dyDescent="0.25">
      <c r="A45" s="26" t="s">
        <v>90</v>
      </c>
      <c r="B45" s="105">
        <f>((B22*B40)+(B23*B41)+(B24*B42))</f>
        <v>8.4849999999999995E-2</v>
      </c>
      <c r="C45" s="91" t="s">
        <v>91</v>
      </c>
      <c r="D45" s="198"/>
      <c r="E45" s="80"/>
      <c r="F45" s="80"/>
      <c r="G45" s="80"/>
      <c r="H45" s="80"/>
      <c r="I45" s="80"/>
      <c r="J45" s="80"/>
      <c r="K45" s="80"/>
      <c r="L45" s="80"/>
    </row>
    <row r="46" spans="1:12" x14ac:dyDescent="0.25">
      <c r="A46" s="26" t="s">
        <v>104</v>
      </c>
      <c r="B46" s="95">
        <f ca="1">IF(B36&lt;0,0,IF(B44=B45,B36/(12*B11*(1+B45)^B11),B36*(B45-B44)/(12*(1+B45)*((1+B45)^(B11)-(1+B44)^(B11)))))</f>
        <v>116505.62271556562</v>
      </c>
      <c r="C46" s="91"/>
      <c r="E46" s="80"/>
      <c r="F46" s="80"/>
      <c r="G46" s="80"/>
      <c r="H46" s="80"/>
      <c r="I46" s="80"/>
      <c r="J46" s="80"/>
      <c r="K46" s="80"/>
      <c r="L46" s="80"/>
    </row>
    <row r="47" spans="1:12" x14ac:dyDescent="0.25">
      <c r="A47" s="127" t="s">
        <v>102</v>
      </c>
      <c r="B47" s="125">
        <f ca="1">IF(B37&lt;0,0,IF(B44=B45,B37/(12*B11*(1+B45)^B11),B37*(B45-B44)/(12*(1+B45)*((1+B45)^(B11)-(1+B44)^(B11)))))</f>
        <v>32413.733563872898</v>
      </c>
      <c r="C47" s="83"/>
      <c r="D47" s="198"/>
      <c r="E47" s="80"/>
      <c r="F47" s="80"/>
      <c r="G47" s="80"/>
      <c r="H47" s="80"/>
      <c r="I47" s="80"/>
      <c r="J47" s="80"/>
      <c r="K47" s="80"/>
      <c r="L47" s="80"/>
    </row>
    <row r="48" spans="1:12" ht="18.75" x14ac:dyDescent="0.3">
      <c r="A48" s="249" t="s">
        <v>107</v>
      </c>
      <c r="B48" s="247">
        <f ca="1">(B46-B47)/B46</f>
        <v>0.72178395507136073</v>
      </c>
      <c r="C48" s="83"/>
      <c r="D48" s="80"/>
      <c r="E48" s="80"/>
      <c r="F48" s="80"/>
      <c r="G48" s="80"/>
      <c r="H48" s="80"/>
      <c r="I48" s="80"/>
      <c r="J48" s="80"/>
      <c r="K48" s="80"/>
      <c r="L48" s="80"/>
    </row>
    <row r="49" spans="1:12" x14ac:dyDescent="0.25">
      <c r="A49" s="85"/>
      <c r="B49" s="82"/>
      <c r="C49" s="83"/>
      <c r="D49" s="80"/>
      <c r="E49" s="80"/>
      <c r="F49" s="80"/>
      <c r="G49" s="80"/>
      <c r="H49" s="80"/>
      <c r="I49" s="80"/>
      <c r="J49" s="80"/>
      <c r="K49" s="80"/>
      <c r="L49" s="80"/>
    </row>
    <row r="50" spans="1:12" x14ac:dyDescent="0.25">
      <c r="A50" s="128" t="s">
        <v>217</v>
      </c>
      <c r="B50" s="93"/>
      <c r="C50" s="106" t="s">
        <v>92</v>
      </c>
      <c r="D50" s="80"/>
      <c r="E50" s="80"/>
      <c r="F50" s="80"/>
      <c r="G50" s="80"/>
      <c r="H50" s="80"/>
      <c r="I50" s="80"/>
      <c r="J50" s="80"/>
      <c r="K50" s="80"/>
      <c r="L50" s="80"/>
    </row>
    <row r="51" spans="1:12" x14ac:dyDescent="0.25">
      <c r="A51" s="92" t="s">
        <v>93</v>
      </c>
      <c r="B51" s="89">
        <f ca="1">B47*B40</f>
        <v>19448.240138323737</v>
      </c>
      <c r="C51" s="89">
        <f ca="1">IF(B22=B44,B51*12*B11*(1+B22)^B11,B51*12*(1+B22)*((1+B22)^B11-(1+B44)^B11)/(B22-B44))</f>
        <v>3420152.1209381544</v>
      </c>
      <c r="D51" s="80"/>
      <c r="E51" s="80"/>
      <c r="F51" s="80"/>
      <c r="G51" s="80"/>
      <c r="H51" s="80"/>
      <c r="I51" s="80"/>
      <c r="J51" s="80"/>
      <c r="K51" s="80"/>
      <c r="L51" s="80"/>
    </row>
    <row r="52" spans="1:12" x14ac:dyDescent="0.25">
      <c r="A52" s="92" t="s">
        <v>94</v>
      </c>
      <c r="B52" s="89">
        <f ca="1">B47*B41</f>
        <v>11344.806747355513</v>
      </c>
      <c r="C52" s="89">
        <f ca="1">IF(B23=B44,B52*12*B11*(1+B23)^B11,B52*12*(1+B23)*((1+B23)^B11-(1+B44)^B11)/(B23-B44))</f>
        <v>1679614.8200840526</v>
      </c>
      <c r="D52" s="80"/>
      <c r="E52" s="80"/>
      <c r="F52" s="80"/>
      <c r="G52" s="80"/>
      <c r="H52" s="80"/>
      <c r="I52" s="80"/>
      <c r="J52" s="80"/>
      <c r="K52" s="80"/>
      <c r="L52" s="80"/>
    </row>
    <row r="53" spans="1:12" x14ac:dyDescent="0.25">
      <c r="A53" s="92" t="s">
        <v>232</v>
      </c>
      <c r="B53" s="89">
        <f ca="1">B47*B42</f>
        <v>1620.6866781936465</v>
      </c>
      <c r="C53" s="89">
        <f ca="1">IF(B24=B44,B53*12*B11*(1+B24)^B11,B53*12*(1+B24)*((1+B24)^B11-(1+B44)^B11)/(B24-B44))</f>
        <v>258129.78780150699</v>
      </c>
      <c r="D53" s="80"/>
      <c r="E53" s="80"/>
      <c r="F53" s="80"/>
      <c r="G53" s="80"/>
      <c r="H53" s="80"/>
      <c r="I53" s="80"/>
      <c r="J53" s="80"/>
      <c r="K53" s="80"/>
      <c r="L53" s="80"/>
    </row>
    <row r="54" spans="1:12" x14ac:dyDescent="0.25">
      <c r="A54" s="286" t="s">
        <v>49</v>
      </c>
      <c r="B54" s="287"/>
      <c r="C54" s="89">
        <f ca="1">SUM(C51:C53)</f>
        <v>5357896.728823714</v>
      </c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5.75" thickBot="1" x14ac:dyDescent="0.3">
      <c r="A55" s="107" t="s">
        <v>103</v>
      </c>
      <c r="B55" s="108"/>
      <c r="C55" s="109"/>
      <c r="D55" s="80"/>
      <c r="E55" s="80"/>
      <c r="F55" s="80"/>
      <c r="G55" s="80"/>
      <c r="H55" s="80"/>
      <c r="I55" s="80"/>
      <c r="J55" s="80"/>
      <c r="K55" s="80"/>
      <c r="L55" s="80"/>
    </row>
    <row r="56" spans="1:12" x14ac:dyDescent="0.25">
      <c r="A56" s="80"/>
      <c r="B56" s="82"/>
      <c r="C56" s="129"/>
      <c r="D56" s="80"/>
      <c r="E56" s="80"/>
      <c r="F56" s="80"/>
      <c r="G56" s="80"/>
      <c r="H56" s="80"/>
      <c r="I56" s="80"/>
      <c r="J56" s="80"/>
      <c r="K56" s="80"/>
      <c r="L56" s="80"/>
    </row>
    <row r="57" spans="1:12" x14ac:dyDescent="0.25">
      <c r="A57" s="80"/>
      <c r="B57" s="82"/>
      <c r="C57" s="80"/>
      <c r="D57" s="198" t="s">
        <v>149</v>
      </c>
      <c r="E57" s="80"/>
      <c r="F57" s="80"/>
      <c r="G57" s="80"/>
      <c r="H57" s="80"/>
      <c r="I57" s="80"/>
      <c r="J57" s="80"/>
      <c r="K57" s="80"/>
      <c r="L57" s="80"/>
    </row>
    <row r="58" spans="1:12" x14ac:dyDescent="0.25">
      <c r="A58" s="110" t="s">
        <v>95</v>
      </c>
      <c r="B58" s="89">
        <f ca="1">IF(B45=B44,B46*12*B11*(1+B45)^B11,B46*12*(1+B45)*((1+B45)^B11-(1+B44)^B11)/(B45-B44))</f>
        <v>19193712.742135659</v>
      </c>
      <c r="C58" s="80" t="s">
        <v>108</v>
      </c>
      <c r="D58" s="80"/>
      <c r="E58" s="80"/>
      <c r="F58" s="80"/>
      <c r="G58" s="80"/>
      <c r="H58" s="80"/>
      <c r="I58" s="80"/>
      <c r="J58" s="80"/>
      <c r="K58" s="80"/>
      <c r="L58" s="80"/>
    </row>
    <row r="59" spans="1:12" x14ac:dyDescent="0.25">
      <c r="A59" s="80"/>
      <c r="B59" s="82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1:12" x14ac:dyDescent="0.25">
      <c r="A60" s="80"/>
      <c r="B60" s="82"/>
      <c r="C60" s="80"/>
      <c r="D60" s="80"/>
      <c r="E60" s="111"/>
      <c r="F60" s="80"/>
      <c r="G60" s="80"/>
      <c r="H60" s="80"/>
      <c r="I60" s="80"/>
      <c r="J60" s="80"/>
      <c r="K60" s="80"/>
      <c r="L60" s="80"/>
    </row>
    <row r="61" spans="1:12" x14ac:dyDescent="0.25">
      <c r="A61" s="80" t="s">
        <v>198</v>
      </c>
      <c r="D61" s="80"/>
      <c r="E61" s="80"/>
      <c r="F61" s="80"/>
      <c r="G61" s="80"/>
      <c r="H61" s="80"/>
      <c r="I61" s="80"/>
      <c r="J61" s="80"/>
      <c r="K61" s="80"/>
      <c r="L61" s="80"/>
    </row>
    <row r="62" spans="1:12" x14ac:dyDescent="0.25">
      <c r="A62" s="80" t="s">
        <v>218</v>
      </c>
      <c r="D62" s="80"/>
      <c r="E62" s="80"/>
      <c r="F62" s="80"/>
      <c r="G62" s="80"/>
      <c r="H62" s="80"/>
      <c r="I62" s="80"/>
      <c r="J62" s="80"/>
      <c r="K62" s="80"/>
      <c r="L62" s="80"/>
    </row>
    <row r="63" spans="1:12" x14ac:dyDescent="0.25">
      <c r="D63" s="80"/>
      <c r="E63" s="80"/>
      <c r="F63" s="80"/>
      <c r="G63" s="80"/>
      <c r="H63" s="80"/>
      <c r="I63" s="80"/>
      <c r="J63" s="80"/>
      <c r="K63" s="80"/>
      <c r="L63" s="80"/>
    </row>
    <row r="64" spans="1:12" x14ac:dyDescent="0.25">
      <c r="D64" s="80"/>
      <c r="E64" s="80"/>
      <c r="F64" s="80"/>
      <c r="G64" s="80"/>
      <c r="H64" s="80"/>
      <c r="I64" s="80"/>
      <c r="J64" s="80"/>
      <c r="K64" s="80"/>
      <c r="L64" s="80"/>
    </row>
    <row r="65" spans="1:12" x14ac:dyDescent="0.25">
      <c r="D65" s="80"/>
      <c r="E65" s="80"/>
      <c r="F65" s="80"/>
      <c r="G65" s="80"/>
      <c r="H65" s="80"/>
      <c r="I65" s="80"/>
      <c r="J65" s="80"/>
      <c r="K65" s="80"/>
      <c r="L65" s="80"/>
    </row>
    <row r="66" spans="1:12" x14ac:dyDescent="0.25">
      <c r="A66" s="80"/>
      <c r="B66" s="218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x14ac:dyDescent="0.25">
      <c r="A67" s="80"/>
      <c r="B67" s="82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1:12" x14ac:dyDescent="0.25">
      <c r="A68" s="80"/>
      <c r="B68" s="82"/>
      <c r="C68" s="219"/>
      <c r="D68" s="80"/>
      <c r="E68" s="80"/>
      <c r="F68" s="80"/>
      <c r="G68" s="80"/>
      <c r="H68" s="80"/>
      <c r="I68" s="80"/>
      <c r="J68" s="80"/>
      <c r="K68" s="80"/>
      <c r="L68" s="80"/>
    </row>
    <row r="69" spans="1:12" x14ac:dyDescent="0.25">
      <c r="B69" s="82"/>
      <c r="C69" s="219"/>
      <c r="D69" s="80"/>
      <c r="E69" s="80"/>
      <c r="F69" s="80"/>
      <c r="G69" s="80"/>
      <c r="H69" s="80"/>
      <c r="I69" s="80"/>
      <c r="J69" s="80"/>
      <c r="K69" s="80"/>
      <c r="L69" s="80"/>
    </row>
    <row r="70" spans="1:12" x14ac:dyDescent="0.25">
      <c r="B70" s="82"/>
      <c r="C70" s="219"/>
      <c r="D70" s="80"/>
      <c r="E70" s="80"/>
      <c r="F70" s="80"/>
      <c r="G70" s="80"/>
      <c r="H70" s="80"/>
      <c r="I70" s="80"/>
      <c r="J70" s="80"/>
      <c r="K70" s="80"/>
      <c r="L70" s="80"/>
    </row>
    <row r="71" spans="1:12" x14ac:dyDescent="0.25">
      <c r="A71" s="80"/>
      <c r="B71" s="82"/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1:12" x14ac:dyDescent="0.25">
      <c r="A72" s="80"/>
      <c r="B72" s="82"/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1:12" x14ac:dyDescent="0.25">
      <c r="A73" s="80"/>
      <c r="B73" s="82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1:12" x14ac:dyDescent="0.25">
      <c r="A74" s="80"/>
      <c r="B74" s="82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1:12" x14ac:dyDescent="0.25">
      <c r="A75" s="80"/>
      <c r="B75" s="82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x14ac:dyDescent="0.25">
      <c r="A76" s="80"/>
      <c r="B76" s="82"/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1:12" x14ac:dyDescent="0.25">
      <c r="A77" s="80"/>
      <c r="B77" s="82"/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pans="1:12" x14ac:dyDescent="0.25">
      <c r="A78" s="80"/>
      <c r="B78" s="82"/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1:12" x14ac:dyDescent="0.25">
      <c r="A79" s="80"/>
      <c r="B79" s="82"/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1:12" x14ac:dyDescent="0.25">
      <c r="A80" s="80"/>
      <c r="B80" s="82"/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1:12" x14ac:dyDescent="0.25">
      <c r="A81" s="80"/>
      <c r="B81" s="82"/>
      <c r="C81" s="80"/>
      <c r="D81" s="80"/>
      <c r="E81" s="80"/>
      <c r="F81" s="80"/>
      <c r="G81" s="80"/>
      <c r="H81" s="80"/>
      <c r="I81" s="80"/>
      <c r="J81" s="80"/>
      <c r="K81" s="80"/>
      <c r="L81" s="80"/>
    </row>
    <row r="82" spans="1:12" x14ac:dyDescent="0.25">
      <c r="A82" s="80"/>
      <c r="B82" s="82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2" x14ac:dyDescent="0.25">
      <c r="A83" s="80"/>
      <c r="B83" s="82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2" x14ac:dyDescent="0.25">
      <c r="A84" s="80"/>
      <c r="B84" s="82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12" x14ac:dyDescent="0.25">
      <c r="D85" s="80"/>
      <c r="E85" s="80"/>
      <c r="F85" s="80"/>
      <c r="G85" s="80"/>
      <c r="H85" s="80"/>
      <c r="I85" s="80"/>
      <c r="J85" s="80"/>
      <c r="K85" s="80"/>
      <c r="L85" s="80"/>
    </row>
    <row r="86" spans="1:12" x14ac:dyDescent="0.25">
      <c r="D86" s="80"/>
      <c r="E86" s="80"/>
      <c r="F86" s="80"/>
      <c r="G86" s="80"/>
      <c r="H86" s="80"/>
      <c r="I86" s="80"/>
      <c r="J86" s="80"/>
      <c r="K86" s="80"/>
      <c r="L86" s="80"/>
    </row>
    <row r="87" spans="1:12" x14ac:dyDescent="0.25">
      <c r="D87" s="80"/>
      <c r="E87" s="80"/>
      <c r="F87" s="80"/>
      <c r="G87" s="80"/>
      <c r="H87" s="80"/>
      <c r="I87" s="80"/>
      <c r="J87" s="80"/>
      <c r="K87" s="80"/>
      <c r="L87" s="80"/>
    </row>
    <row r="88" spans="1:12" x14ac:dyDescent="0.25">
      <c r="D88" s="80"/>
      <c r="E88" s="80"/>
      <c r="F88" s="80"/>
      <c r="G88" s="80"/>
      <c r="H88" s="80"/>
      <c r="I88" s="80"/>
      <c r="J88" s="80"/>
      <c r="K88" s="80"/>
      <c r="L88" s="80"/>
    </row>
    <row r="89" spans="1:12" x14ac:dyDescent="0.25">
      <c r="D89" s="80"/>
      <c r="E89" s="80"/>
      <c r="F89" s="80"/>
      <c r="G89" s="80"/>
      <c r="H89" s="80"/>
      <c r="I89" s="80"/>
      <c r="J89" s="80"/>
      <c r="K89" s="80"/>
      <c r="L89" s="80"/>
    </row>
    <row r="90" spans="1:12" x14ac:dyDescent="0.25">
      <c r="D90" s="80"/>
      <c r="E90" s="80"/>
      <c r="F90" s="80"/>
      <c r="G90" s="80"/>
      <c r="H90" s="80"/>
      <c r="I90" s="80"/>
      <c r="J90" s="80"/>
      <c r="K90" s="80"/>
      <c r="L90" s="80"/>
    </row>
    <row r="91" spans="1:12" x14ac:dyDescent="0.25">
      <c r="D91" s="80"/>
      <c r="E91" s="80"/>
      <c r="F91" s="80"/>
      <c r="G91" s="80"/>
      <c r="H91" s="80"/>
      <c r="I91" s="80"/>
      <c r="J91" s="80"/>
      <c r="K91" s="80"/>
      <c r="L91" s="80"/>
    </row>
    <row r="92" spans="1:12" x14ac:dyDescent="0.25">
      <c r="D92" s="80"/>
      <c r="E92" s="80"/>
      <c r="F92" s="80"/>
      <c r="G92" s="80"/>
      <c r="H92" s="80"/>
      <c r="I92" s="80"/>
      <c r="J92" s="80"/>
      <c r="K92" s="80"/>
      <c r="L92" s="80"/>
    </row>
    <row r="93" spans="1:12" x14ac:dyDescent="0.25">
      <c r="D93" s="80"/>
      <c r="E93" s="80"/>
      <c r="F93" s="80"/>
      <c r="G93" s="80"/>
      <c r="H93" s="80"/>
      <c r="I93" s="80"/>
      <c r="J93" s="80"/>
      <c r="K93" s="80"/>
      <c r="L93" s="80"/>
    </row>
    <row r="94" spans="1:12" x14ac:dyDescent="0.25">
      <c r="D94" s="80"/>
      <c r="E94" s="80"/>
      <c r="F94" s="80"/>
      <c r="G94" s="80"/>
      <c r="H94" s="80"/>
      <c r="I94" s="80"/>
      <c r="J94" s="80"/>
      <c r="K94" s="80"/>
      <c r="L94" s="80"/>
    </row>
    <row r="95" spans="1:12" x14ac:dyDescent="0.25">
      <c r="D95" s="80"/>
      <c r="E95" s="80"/>
      <c r="F95" s="80"/>
      <c r="G95" s="80"/>
      <c r="H95" s="80"/>
      <c r="I95" s="80"/>
      <c r="J95" s="80"/>
      <c r="K95" s="80"/>
      <c r="L95" s="80"/>
    </row>
    <row r="96" spans="1:12" x14ac:dyDescent="0.25">
      <c r="D96" s="80"/>
      <c r="E96" s="80"/>
      <c r="F96" s="80"/>
      <c r="G96" s="80"/>
      <c r="H96" s="80"/>
      <c r="I96" s="80"/>
      <c r="J96" s="80"/>
      <c r="K96" s="80"/>
      <c r="L96" s="80"/>
    </row>
    <row r="97" spans="4:12" x14ac:dyDescent="0.25">
      <c r="D97" s="80"/>
      <c r="E97" s="80"/>
      <c r="F97" s="80"/>
      <c r="G97" s="80"/>
      <c r="H97" s="80"/>
      <c r="I97" s="80"/>
      <c r="J97" s="80"/>
      <c r="K97" s="80"/>
      <c r="L97" s="80"/>
    </row>
    <row r="98" spans="4:12" x14ac:dyDescent="0.25">
      <c r="D98" s="80"/>
      <c r="E98" s="80"/>
      <c r="F98" s="80"/>
      <c r="G98" s="80"/>
      <c r="H98" s="80"/>
      <c r="I98" s="80"/>
      <c r="J98" s="80"/>
      <c r="K98" s="80"/>
      <c r="L98" s="80"/>
    </row>
    <row r="99" spans="4:12" x14ac:dyDescent="0.25">
      <c r="D99" s="80"/>
      <c r="E99" s="80"/>
      <c r="F99" s="80"/>
      <c r="G99" s="80"/>
      <c r="H99" s="80"/>
      <c r="I99" s="80"/>
      <c r="J99" s="80"/>
      <c r="K99" s="80"/>
      <c r="L99" s="80"/>
    </row>
    <row r="100" spans="4:12" x14ac:dyDescent="0.25"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4:12" x14ac:dyDescent="0.25"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4:12" x14ac:dyDescent="0.25"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4:12" x14ac:dyDescent="0.25"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4:12" x14ac:dyDescent="0.25"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4:12" x14ac:dyDescent="0.25"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4:12" x14ac:dyDescent="0.25"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4:12" x14ac:dyDescent="0.25"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4:12" x14ac:dyDescent="0.25"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4:12" x14ac:dyDescent="0.25"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4:12" x14ac:dyDescent="0.25"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4:12" x14ac:dyDescent="0.25"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4:12" x14ac:dyDescent="0.25"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4:12" x14ac:dyDescent="0.25"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4:12" x14ac:dyDescent="0.25"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4:12" x14ac:dyDescent="0.25"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4:12" x14ac:dyDescent="0.25"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4:12" x14ac:dyDescent="0.25"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4:12" x14ac:dyDescent="0.25"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4:12" x14ac:dyDescent="0.25"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4:12" x14ac:dyDescent="0.25">
      <c r="D120" s="80"/>
      <c r="E120" s="80"/>
      <c r="F120" s="80"/>
      <c r="G120" s="80"/>
      <c r="H120" s="80"/>
      <c r="I120" s="80"/>
      <c r="J120" s="80"/>
      <c r="K120" s="80"/>
      <c r="L120" s="80"/>
    </row>
  </sheetData>
  <mergeCells count="3">
    <mergeCell ref="A1:C1"/>
    <mergeCell ref="A54:B54"/>
    <mergeCell ref="D8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V83"/>
  <sheetViews>
    <sheetView topLeftCell="A54" workbookViewId="0">
      <selection activeCell="G81" sqref="G81"/>
    </sheetView>
  </sheetViews>
  <sheetFormatPr defaultRowHeight="12.75" x14ac:dyDescent="0.2"/>
  <cols>
    <col min="1" max="1" width="29.7109375" style="143" customWidth="1"/>
    <col min="2" max="2" width="9.5703125" style="143" bestFit="1" customWidth="1"/>
    <col min="3" max="3" width="9.140625" style="143"/>
    <col min="4" max="4" width="9.85546875" style="143" customWidth="1"/>
    <col min="5" max="5" width="9.28515625" style="143" customWidth="1"/>
    <col min="6" max="6" width="1.140625" style="143" customWidth="1"/>
    <col min="7" max="7" width="9.140625" style="143"/>
    <col min="8" max="8" width="9.5703125" style="143" customWidth="1"/>
    <col min="9" max="9" width="1.42578125" style="143" customWidth="1"/>
    <col min="10" max="10" width="13.7109375" style="143" customWidth="1"/>
    <col min="11" max="11" width="1.42578125" style="143" customWidth="1"/>
    <col min="12" max="12" width="17.42578125" style="143" customWidth="1"/>
    <col min="13" max="13" width="8.7109375" style="143" bestFit="1" customWidth="1"/>
    <col min="14" max="14" width="12.5703125" style="143" customWidth="1"/>
    <col min="15" max="15" width="10.85546875" style="143" customWidth="1"/>
    <col min="16" max="16" width="16.140625" style="143" customWidth="1"/>
    <col min="17" max="17" width="13.85546875" style="143" customWidth="1"/>
    <col min="18" max="18" width="9.28515625" style="143" customWidth="1"/>
    <col min="19" max="19" width="10.5703125" style="143" customWidth="1"/>
    <col min="20" max="20" width="5.42578125" style="143" customWidth="1"/>
    <col min="21" max="256" width="9.140625" style="143"/>
    <col min="257" max="257" width="29.7109375" style="143" customWidth="1"/>
    <col min="258" max="260" width="9.140625" style="143"/>
    <col min="261" max="261" width="9.28515625" style="143" customWidth="1"/>
    <col min="262" max="262" width="1.140625" style="143" customWidth="1"/>
    <col min="263" max="263" width="9.140625" style="143"/>
    <col min="264" max="264" width="9.5703125" style="143" customWidth="1"/>
    <col min="265" max="265" width="1.42578125" style="143" customWidth="1"/>
    <col min="266" max="266" width="13.7109375" style="143" customWidth="1"/>
    <col min="267" max="267" width="1.42578125" style="143" customWidth="1"/>
    <col min="268" max="268" width="17.42578125" style="143" customWidth="1"/>
    <col min="269" max="269" width="8.7109375" style="143" bestFit="1" customWidth="1"/>
    <col min="270" max="270" width="4.28515625" style="143" customWidth="1"/>
    <col min="271" max="271" width="3.5703125" style="143" customWidth="1"/>
    <col min="272" max="272" width="5.5703125" style="143" bestFit="1" customWidth="1"/>
    <col min="273" max="273" width="19.7109375" style="143" bestFit="1" customWidth="1"/>
    <col min="274" max="274" width="7.28515625" style="143" bestFit="1" customWidth="1"/>
    <col min="275" max="275" width="5.7109375" style="143" customWidth="1"/>
    <col min="276" max="276" width="5.42578125" style="143" customWidth="1"/>
    <col min="277" max="512" width="9.140625" style="143"/>
    <col min="513" max="513" width="29.7109375" style="143" customWidth="1"/>
    <col min="514" max="516" width="9.140625" style="143"/>
    <col min="517" max="517" width="9.28515625" style="143" customWidth="1"/>
    <col min="518" max="518" width="1.140625" style="143" customWidth="1"/>
    <col min="519" max="519" width="9.140625" style="143"/>
    <col min="520" max="520" width="9.5703125" style="143" customWidth="1"/>
    <col min="521" max="521" width="1.42578125" style="143" customWidth="1"/>
    <col min="522" max="522" width="13.7109375" style="143" customWidth="1"/>
    <col min="523" max="523" width="1.42578125" style="143" customWidth="1"/>
    <col min="524" max="524" width="17.42578125" style="143" customWidth="1"/>
    <col min="525" max="525" width="8.7109375" style="143" bestFit="1" customWidth="1"/>
    <col min="526" max="526" width="4.28515625" style="143" customWidth="1"/>
    <col min="527" max="527" width="3.5703125" style="143" customWidth="1"/>
    <col min="528" max="528" width="5.5703125" style="143" bestFit="1" customWidth="1"/>
    <col min="529" max="529" width="19.7109375" style="143" bestFit="1" customWidth="1"/>
    <col min="530" max="530" width="7.28515625" style="143" bestFit="1" customWidth="1"/>
    <col min="531" max="531" width="5.7109375" style="143" customWidth="1"/>
    <col min="532" max="532" width="5.42578125" style="143" customWidth="1"/>
    <col min="533" max="768" width="9.140625" style="143"/>
    <col min="769" max="769" width="29.7109375" style="143" customWidth="1"/>
    <col min="770" max="772" width="9.140625" style="143"/>
    <col min="773" max="773" width="9.28515625" style="143" customWidth="1"/>
    <col min="774" max="774" width="1.140625" style="143" customWidth="1"/>
    <col min="775" max="775" width="9.140625" style="143"/>
    <col min="776" max="776" width="9.5703125" style="143" customWidth="1"/>
    <col min="777" max="777" width="1.42578125" style="143" customWidth="1"/>
    <col min="778" max="778" width="13.7109375" style="143" customWidth="1"/>
    <col min="779" max="779" width="1.42578125" style="143" customWidth="1"/>
    <col min="780" max="780" width="17.42578125" style="143" customWidth="1"/>
    <col min="781" max="781" width="8.7109375" style="143" bestFit="1" customWidth="1"/>
    <col min="782" max="782" width="4.28515625" style="143" customWidth="1"/>
    <col min="783" max="783" width="3.5703125" style="143" customWidth="1"/>
    <col min="784" max="784" width="5.5703125" style="143" bestFit="1" customWidth="1"/>
    <col min="785" max="785" width="19.7109375" style="143" bestFit="1" customWidth="1"/>
    <col min="786" max="786" width="7.28515625" style="143" bestFit="1" customWidth="1"/>
    <col min="787" max="787" width="5.7109375" style="143" customWidth="1"/>
    <col min="788" max="788" width="5.42578125" style="143" customWidth="1"/>
    <col min="789" max="1024" width="9.140625" style="143"/>
    <col min="1025" max="1025" width="29.7109375" style="143" customWidth="1"/>
    <col min="1026" max="1028" width="9.140625" style="143"/>
    <col min="1029" max="1029" width="9.28515625" style="143" customWidth="1"/>
    <col min="1030" max="1030" width="1.140625" style="143" customWidth="1"/>
    <col min="1031" max="1031" width="9.140625" style="143"/>
    <col min="1032" max="1032" width="9.5703125" style="143" customWidth="1"/>
    <col min="1033" max="1033" width="1.42578125" style="143" customWidth="1"/>
    <col min="1034" max="1034" width="13.7109375" style="143" customWidth="1"/>
    <col min="1035" max="1035" width="1.42578125" style="143" customWidth="1"/>
    <col min="1036" max="1036" width="17.42578125" style="143" customWidth="1"/>
    <col min="1037" max="1037" width="8.7109375" style="143" bestFit="1" customWidth="1"/>
    <col min="1038" max="1038" width="4.28515625" style="143" customWidth="1"/>
    <col min="1039" max="1039" width="3.5703125" style="143" customWidth="1"/>
    <col min="1040" max="1040" width="5.5703125" style="143" bestFit="1" customWidth="1"/>
    <col min="1041" max="1041" width="19.7109375" style="143" bestFit="1" customWidth="1"/>
    <col min="1042" max="1042" width="7.28515625" style="143" bestFit="1" customWidth="1"/>
    <col min="1043" max="1043" width="5.7109375" style="143" customWidth="1"/>
    <col min="1044" max="1044" width="5.42578125" style="143" customWidth="1"/>
    <col min="1045" max="1280" width="9.140625" style="143"/>
    <col min="1281" max="1281" width="29.7109375" style="143" customWidth="1"/>
    <col min="1282" max="1284" width="9.140625" style="143"/>
    <col min="1285" max="1285" width="9.28515625" style="143" customWidth="1"/>
    <col min="1286" max="1286" width="1.140625" style="143" customWidth="1"/>
    <col min="1287" max="1287" width="9.140625" style="143"/>
    <col min="1288" max="1288" width="9.5703125" style="143" customWidth="1"/>
    <col min="1289" max="1289" width="1.42578125" style="143" customWidth="1"/>
    <col min="1290" max="1290" width="13.7109375" style="143" customWidth="1"/>
    <col min="1291" max="1291" width="1.42578125" style="143" customWidth="1"/>
    <col min="1292" max="1292" width="17.42578125" style="143" customWidth="1"/>
    <col min="1293" max="1293" width="8.7109375" style="143" bestFit="1" customWidth="1"/>
    <col min="1294" max="1294" width="4.28515625" style="143" customWidth="1"/>
    <col min="1295" max="1295" width="3.5703125" style="143" customWidth="1"/>
    <col min="1296" max="1296" width="5.5703125" style="143" bestFit="1" customWidth="1"/>
    <col min="1297" max="1297" width="19.7109375" style="143" bestFit="1" customWidth="1"/>
    <col min="1298" max="1298" width="7.28515625" style="143" bestFit="1" customWidth="1"/>
    <col min="1299" max="1299" width="5.7109375" style="143" customWidth="1"/>
    <col min="1300" max="1300" width="5.42578125" style="143" customWidth="1"/>
    <col min="1301" max="1536" width="9.140625" style="143"/>
    <col min="1537" max="1537" width="29.7109375" style="143" customWidth="1"/>
    <col min="1538" max="1540" width="9.140625" style="143"/>
    <col min="1541" max="1541" width="9.28515625" style="143" customWidth="1"/>
    <col min="1542" max="1542" width="1.140625" style="143" customWidth="1"/>
    <col min="1543" max="1543" width="9.140625" style="143"/>
    <col min="1544" max="1544" width="9.5703125" style="143" customWidth="1"/>
    <col min="1545" max="1545" width="1.42578125" style="143" customWidth="1"/>
    <col min="1546" max="1546" width="13.7109375" style="143" customWidth="1"/>
    <col min="1547" max="1547" width="1.42578125" style="143" customWidth="1"/>
    <col min="1548" max="1548" width="17.42578125" style="143" customWidth="1"/>
    <col min="1549" max="1549" width="8.7109375" style="143" bestFit="1" customWidth="1"/>
    <col min="1550" max="1550" width="4.28515625" style="143" customWidth="1"/>
    <col min="1551" max="1551" width="3.5703125" style="143" customWidth="1"/>
    <col min="1552" max="1552" width="5.5703125" style="143" bestFit="1" customWidth="1"/>
    <col min="1553" max="1553" width="19.7109375" style="143" bestFit="1" customWidth="1"/>
    <col min="1554" max="1554" width="7.28515625" style="143" bestFit="1" customWidth="1"/>
    <col min="1555" max="1555" width="5.7109375" style="143" customWidth="1"/>
    <col min="1556" max="1556" width="5.42578125" style="143" customWidth="1"/>
    <col min="1557" max="1792" width="9.140625" style="143"/>
    <col min="1793" max="1793" width="29.7109375" style="143" customWidth="1"/>
    <col min="1794" max="1796" width="9.140625" style="143"/>
    <col min="1797" max="1797" width="9.28515625" style="143" customWidth="1"/>
    <col min="1798" max="1798" width="1.140625" style="143" customWidth="1"/>
    <col min="1799" max="1799" width="9.140625" style="143"/>
    <col min="1800" max="1800" width="9.5703125" style="143" customWidth="1"/>
    <col min="1801" max="1801" width="1.42578125" style="143" customWidth="1"/>
    <col min="1802" max="1802" width="13.7109375" style="143" customWidth="1"/>
    <col min="1803" max="1803" width="1.42578125" style="143" customWidth="1"/>
    <col min="1804" max="1804" width="17.42578125" style="143" customWidth="1"/>
    <col min="1805" max="1805" width="8.7109375" style="143" bestFit="1" customWidth="1"/>
    <col min="1806" max="1806" width="4.28515625" style="143" customWidth="1"/>
    <col min="1807" max="1807" width="3.5703125" style="143" customWidth="1"/>
    <col min="1808" max="1808" width="5.5703125" style="143" bestFit="1" customWidth="1"/>
    <col min="1809" max="1809" width="19.7109375" style="143" bestFit="1" customWidth="1"/>
    <col min="1810" max="1810" width="7.28515625" style="143" bestFit="1" customWidth="1"/>
    <col min="1811" max="1811" width="5.7109375" style="143" customWidth="1"/>
    <col min="1812" max="1812" width="5.42578125" style="143" customWidth="1"/>
    <col min="1813" max="2048" width="9.140625" style="143"/>
    <col min="2049" max="2049" width="29.7109375" style="143" customWidth="1"/>
    <col min="2050" max="2052" width="9.140625" style="143"/>
    <col min="2053" max="2053" width="9.28515625" style="143" customWidth="1"/>
    <col min="2054" max="2054" width="1.140625" style="143" customWidth="1"/>
    <col min="2055" max="2055" width="9.140625" style="143"/>
    <col min="2056" max="2056" width="9.5703125" style="143" customWidth="1"/>
    <col min="2057" max="2057" width="1.42578125" style="143" customWidth="1"/>
    <col min="2058" max="2058" width="13.7109375" style="143" customWidth="1"/>
    <col min="2059" max="2059" width="1.42578125" style="143" customWidth="1"/>
    <col min="2060" max="2060" width="17.42578125" style="143" customWidth="1"/>
    <col min="2061" max="2061" width="8.7109375" style="143" bestFit="1" customWidth="1"/>
    <col min="2062" max="2062" width="4.28515625" style="143" customWidth="1"/>
    <col min="2063" max="2063" width="3.5703125" style="143" customWidth="1"/>
    <col min="2064" max="2064" width="5.5703125" style="143" bestFit="1" customWidth="1"/>
    <col min="2065" max="2065" width="19.7109375" style="143" bestFit="1" customWidth="1"/>
    <col min="2066" max="2066" width="7.28515625" style="143" bestFit="1" customWidth="1"/>
    <col min="2067" max="2067" width="5.7109375" style="143" customWidth="1"/>
    <col min="2068" max="2068" width="5.42578125" style="143" customWidth="1"/>
    <col min="2069" max="2304" width="9.140625" style="143"/>
    <col min="2305" max="2305" width="29.7109375" style="143" customWidth="1"/>
    <col min="2306" max="2308" width="9.140625" style="143"/>
    <col min="2309" max="2309" width="9.28515625" style="143" customWidth="1"/>
    <col min="2310" max="2310" width="1.140625" style="143" customWidth="1"/>
    <col min="2311" max="2311" width="9.140625" style="143"/>
    <col min="2312" max="2312" width="9.5703125" style="143" customWidth="1"/>
    <col min="2313" max="2313" width="1.42578125" style="143" customWidth="1"/>
    <col min="2314" max="2314" width="13.7109375" style="143" customWidth="1"/>
    <col min="2315" max="2315" width="1.42578125" style="143" customWidth="1"/>
    <col min="2316" max="2316" width="17.42578125" style="143" customWidth="1"/>
    <col min="2317" max="2317" width="8.7109375" style="143" bestFit="1" customWidth="1"/>
    <col min="2318" max="2318" width="4.28515625" style="143" customWidth="1"/>
    <col min="2319" max="2319" width="3.5703125" style="143" customWidth="1"/>
    <col min="2320" max="2320" width="5.5703125" style="143" bestFit="1" customWidth="1"/>
    <col min="2321" max="2321" width="19.7109375" style="143" bestFit="1" customWidth="1"/>
    <col min="2322" max="2322" width="7.28515625" style="143" bestFit="1" customWidth="1"/>
    <col min="2323" max="2323" width="5.7109375" style="143" customWidth="1"/>
    <col min="2324" max="2324" width="5.42578125" style="143" customWidth="1"/>
    <col min="2325" max="2560" width="9.140625" style="143"/>
    <col min="2561" max="2561" width="29.7109375" style="143" customWidth="1"/>
    <col min="2562" max="2564" width="9.140625" style="143"/>
    <col min="2565" max="2565" width="9.28515625" style="143" customWidth="1"/>
    <col min="2566" max="2566" width="1.140625" style="143" customWidth="1"/>
    <col min="2567" max="2567" width="9.140625" style="143"/>
    <col min="2568" max="2568" width="9.5703125" style="143" customWidth="1"/>
    <col min="2569" max="2569" width="1.42578125" style="143" customWidth="1"/>
    <col min="2570" max="2570" width="13.7109375" style="143" customWidth="1"/>
    <col min="2571" max="2571" width="1.42578125" style="143" customWidth="1"/>
    <col min="2572" max="2572" width="17.42578125" style="143" customWidth="1"/>
    <col min="2573" max="2573" width="8.7109375" style="143" bestFit="1" customWidth="1"/>
    <col min="2574" max="2574" width="4.28515625" style="143" customWidth="1"/>
    <col min="2575" max="2575" width="3.5703125" style="143" customWidth="1"/>
    <col min="2576" max="2576" width="5.5703125" style="143" bestFit="1" customWidth="1"/>
    <col min="2577" max="2577" width="19.7109375" style="143" bestFit="1" customWidth="1"/>
    <col min="2578" max="2578" width="7.28515625" style="143" bestFit="1" customWidth="1"/>
    <col min="2579" max="2579" width="5.7109375" style="143" customWidth="1"/>
    <col min="2580" max="2580" width="5.42578125" style="143" customWidth="1"/>
    <col min="2581" max="2816" width="9.140625" style="143"/>
    <col min="2817" max="2817" width="29.7109375" style="143" customWidth="1"/>
    <col min="2818" max="2820" width="9.140625" style="143"/>
    <col min="2821" max="2821" width="9.28515625" style="143" customWidth="1"/>
    <col min="2822" max="2822" width="1.140625" style="143" customWidth="1"/>
    <col min="2823" max="2823" width="9.140625" style="143"/>
    <col min="2824" max="2824" width="9.5703125" style="143" customWidth="1"/>
    <col min="2825" max="2825" width="1.42578125" style="143" customWidth="1"/>
    <col min="2826" max="2826" width="13.7109375" style="143" customWidth="1"/>
    <col min="2827" max="2827" width="1.42578125" style="143" customWidth="1"/>
    <col min="2828" max="2828" width="17.42578125" style="143" customWidth="1"/>
    <col min="2829" max="2829" width="8.7109375" style="143" bestFit="1" customWidth="1"/>
    <col min="2830" max="2830" width="4.28515625" style="143" customWidth="1"/>
    <col min="2831" max="2831" width="3.5703125" style="143" customWidth="1"/>
    <col min="2832" max="2832" width="5.5703125" style="143" bestFit="1" customWidth="1"/>
    <col min="2833" max="2833" width="19.7109375" style="143" bestFit="1" customWidth="1"/>
    <col min="2834" max="2834" width="7.28515625" style="143" bestFit="1" customWidth="1"/>
    <col min="2835" max="2835" width="5.7109375" style="143" customWidth="1"/>
    <col min="2836" max="2836" width="5.42578125" style="143" customWidth="1"/>
    <col min="2837" max="3072" width="9.140625" style="143"/>
    <col min="3073" max="3073" width="29.7109375" style="143" customWidth="1"/>
    <col min="3074" max="3076" width="9.140625" style="143"/>
    <col min="3077" max="3077" width="9.28515625" style="143" customWidth="1"/>
    <col min="3078" max="3078" width="1.140625" style="143" customWidth="1"/>
    <col min="3079" max="3079" width="9.140625" style="143"/>
    <col min="3080" max="3080" width="9.5703125" style="143" customWidth="1"/>
    <col min="3081" max="3081" width="1.42578125" style="143" customWidth="1"/>
    <col min="3082" max="3082" width="13.7109375" style="143" customWidth="1"/>
    <col min="3083" max="3083" width="1.42578125" style="143" customWidth="1"/>
    <col min="3084" max="3084" width="17.42578125" style="143" customWidth="1"/>
    <col min="3085" max="3085" width="8.7109375" style="143" bestFit="1" customWidth="1"/>
    <col min="3086" max="3086" width="4.28515625" style="143" customWidth="1"/>
    <col min="3087" max="3087" width="3.5703125" style="143" customWidth="1"/>
    <col min="3088" max="3088" width="5.5703125" style="143" bestFit="1" customWidth="1"/>
    <col min="3089" max="3089" width="19.7109375" style="143" bestFit="1" customWidth="1"/>
    <col min="3090" max="3090" width="7.28515625" style="143" bestFit="1" customWidth="1"/>
    <col min="3091" max="3091" width="5.7109375" style="143" customWidth="1"/>
    <col min="3092" max="3092" width="5.42578125" style="143" customWidth="1"/>
    <col min="3093" max="3328" width="9.140625" style="143"/>
    <col min="3329" max="3329" width="29.7109375" style="143" customWidth="1"/>
    <col min="3330" max="3332" width="9.140625" style="143"/>
    <col min="3333" max="3333" width="9.28515625" style="143" customWidth="1"/>
    <col min="3334" max="3334" width="1.140625" style="143" customWidth="1"/>
    <col min="3335" max="3335" width="9.140625" style="143"/>
    <col min="3336" max="3336" width="9.5703125" style="143" customWidth="1"/>
    <col min="3337" max="3337" width="1.42578125" style="143" customWidth="1"/>
    <col min="3338" max="3338" width="13.7109375" style="143" customWidth="1"/>
    <col min="3339" max="3339" width="1.42578125" style="143" customWidth="1"/>
    <col min="3340" max="3340" width="17.42578125" style="143" customWidth="1"/>
    <col min="3341" max="3341" width="8.7109375" style="143" bestFit="1" customWidth="1"/>
    <col min="3342" max="3342" width="4.28515625" style="143" customWidth="1"/>
    <col min="3343" max="3343" width="3.5703125" style="143" customWidth="1"/>
    <col min="3344" max="3344" width="5.5703125" style="143" bestFit="1" customWidth="1"/>
    <col min="3345" max="3345" width="19.7109375" style="143" bestFit="1" customWidth="1"/>
    <col min="3346" max="3346" width="7.28515625" style="143" bestFit="1" customWidth="1"/>
    <col min="3347" max="3347" width="5.7109375" style="143" customWidth="1"/>
    <col min="3348" max="3348" width="5.42578125" style="143" customWidth="1"/>
    <col min="3349" max="3584" width="9.140625" style="143"/>
    <col min="3585" max="3585" width="29.7109375" style="143" customWidth="1"/>
    <col min="3586" max="3588" width="9.140625" style="143"/>
    <col min="3589" max="3589" width="9.28515625" style="143" customWidth="1"/>
    <col min="3590" max="3590" width="1.140625" style="143" customWidth="1"/>
    <col min="3591" max="3591" width="9.140625" style="143"/>
    <col min="3592" max="3592" width="9.5703125" style="143" customWidth="1"/>
    <col min="3593" max="3593" width="1.42578125" style="143" customWidth="1"/>
    <col min="3594" max="3594" width="13.7109375" style="143" customWidth="1"/>
    <col min="3595" max="3595" width="1.42578125" style="143" customWidth="1"/>
    <col min="3596" max="3596" width="17.42578125" style="143" customWidth="1"/>
    <col min="3597" max="3597" width="8.7109375" style="143" bestFit="1" customWidth="1"/>
    <col min="3598" max="3598" width="4.28515625" style="143" customWidth="1"/>
    <col min="3599" max="3599" width="3.5703125" style="143" customWidth="1"/>
    <col min="3600" max="3600" width="5.5703125" style="143" bestFit="1" customWidth="1"/>
    <col min="3601" max="3601" width="19.7109375" style="143" bestFit="1" customWidth="1"/>
    <col min="3602" max="3602" width="7.28515625" style="143" bestFit="1" customWidth="1"/>
    <col min="3603" max="3603" width="5.7109375" style="143" customWidth="1"/>
    <col min="3604" max="3604" width="5.42578125" style="143" customWidth="1"/>
    <col min="3605" max="3840" width="9.140625" style="143"/>
    <col min="3841" max="3841" width="29.7109375" style="143" customWidth="1"/>
    <col min="3842" max="3844" width="9.140625" style="143"/>
    <col min="3845" max="3845" width="9.28515625" style="143" customWidth="1"/>
    <col min="3846" max="3846" width="1.140625" style="143" customWidth="1"/>
    <col min="3847" max="3847" width="9.140625" style="143"/>
    <col min="3848" max="3848" width="9.5703125" style="143" customWidth="1"/>
    <col min="3849" max="3849" width="1.42578125" style="143" customWidth="1"/>
    <col min="3850" max="3850" width="13.7109375" style="143" customWidth="1"/>
    <col min="3851" max="3851" width="1.42578125" style="143" customWidth="1"/>
    <col min="3852" max="3852" width="17.42578125" style="143" customWidth="1"/>
    <col min="3853" max="3853" width="8.7109375" style="143" bestFit="1" customWidth="1"/>
    <col min="3854" max="3854" width="4.28515625" style="143" customWidth="1"/>
    <col min="3855" max="3855" width="3.5703125" style="143" customWidth="1"/>
    <col min="3856" max="3856" width="5.5703125" style="143" bestFit="1" customWidth="1"/>
    <col min="3857" max="3857" width="19.7109375" style="143" bestFit="1" customWidth="1"/>
    <col min="3858" max="3858" width="7.28515625" style="143" bestFit="1" customWidth="1"/>
    <col min="3859" max="3859" width="5.7109375" style="143" customWidth="1"/>
    <col min="3860" max="3860" width="5.42578125" style="143" customWidth="1"/>
    <col min="3861" max="4096" width="9.140625" style="143"/>
    <col min="4097" max="4097" width="29.7109375" style="143" customWidth="1"/>
    <col min="4098" max="4100" width="9.140625" style="143"/>
    <col min="4101" max="4101" width="9.28515625" style="143" customWidth="1"/>
    <col min="4102" max="4102" width="1.140625" style="143" customWidth="1"/>
    <col min="4103" max="4103" width="9.140625" style="143"/>
    <col min="4104" max="4104" width="9.5703125" style="143" customWidth="1"/>
    <col min="4105" max="4105" width="1.42578125" style="143" customWidth="1"/>
    <col min="4106" max="4106" width="13.7109375" style="143" customWidth="1"/>
    <col min="4107" max="4107" width="1.42578125" style="143" customWidth="1"/>
    <col min="4108" max="4108" width="17.42578125" style="143" customWidth="1"/>
    <col min="4109" max="4109" width="8.7109375" style="143" bestFit="1" customWidth="1"/>
    <col min="4110" max="4110" width="4.28515625" style="143" customWidth="1"/>
    <col min="4111" max="4111" width="3.5703125" style="143" customWidth="1"/>
    <col min="4112" max="4112" width="5.5703125" style="143" bestFit="1" customWidth="1"/>
    <col min="4113" max="4113" width="19.7109375" style="143" bestFit="1" customWidth="1"/>
    <col min="4114" max="4114" width="7.28515625" style="143" bestFit="1" customWidth="1"/>
    <col min="4115" max="4115" width="5.7109375" style="143" customWidth="1"/>
    <col min="4116" max="4116" width="5.42578125" style="143" customWidth="1"/>
    <col min="4117" max="4352" width="9.140625" style="143"/>
    <col min="4353" max="4353" width="29.7109375" style="143" customWidth="1"/>
    <col min="4354" max="4356" width="9.140625" style="143"/>
    <col min="4357" max="4357" width="9.28515625" style="143" customWidth="1"/>
    <col min="4358" max="4358" width="1.140625" style="143" customWidth="1"/>
    <col min="4359" max="4359" width="9.140625" style="143"/>
    <col min="4360" max="4360" width="9.5703125" style="143" customWidth="1"/>
    <col min="4361" max="4361" width="1.42578125" style="143" customWidth="1"/>
    <col min="4362" max="4362" width="13.7109375" style="143" customWidth="1"/>
    <col min="4363" max="4363" width="1.42578125" style="143" customWidth="1"/>
    <col min="4364" max="4364" width="17.42578125" style="143" customWidth="1"/>
    <col min="4365" max="4365" width="8.7109375" style="143" bestFit="1" customWidth="1"/>
    <col min="4366" max="4366" width="4.28515625" style="143" customWidth="1"/>
    <col min="4367" max="4367" width="3.5703125" style="143" customWidth="1"/>
    <col min="4368" max="4368" width="5.5703125" style="143" bestFit="1" customWidth="1"/>
    <col min="4369" max="4369" width="19.7109375" style="143" bestFit="1" customWidth="1"/>
    <col min="4370" max="4370" width="7.28515625" style="143" bestFit="1" customWidth="1"/>
    <col min="4371" max="4371" width="5.7109375" style="143" customWidth="1"/>
    <col min="4372" max="4372" width="5.42578125" style="143" customWidth="1"/>
    <col min="4373" max="4608" width="9.140625" style="143"/>
    <col min="4609" max="4609" width="29.7109375" style="143" customWidth="1"/>
    <col min="4610" max="4612" width="9.140625" style="143"/>
    <col min="4613" max="4613" width="9.28515625" style="143" customWidth="1"/>
    <col min="4614" max="4614" width="1.140625" style="143" customWidth="1"/>
    <col min="4615" max="4615" width="9.140625" style="143"/>
    <col min="4616" max="4616" width="9.5703125" style="143" customWidth="1"/>
    <col min="4617" max="4617" width="1.42578125" style="143" customWidth="1"/>
    <col min="4618" max="4618" width="13.7109375" style="143" customWidth="1"/>
    <col min="4619" max="4619" width="1.42578125" style="143" customWidth="1"/>
    <col min="4620" max="4620" width="17.42578125" style="143" customWidth="1"/>
    <col min="4621" max="4621" width="8.7109375" style="143" bestFit="1" customWidth="1"/>
    <col min="4622" max="4622" width="4.28515625" style="143" customWidth="1"/>
    <col min="4623" max="4623" width="3.5703125" style="143" customWidth="1"/>
    <col min="4624" max="4624" width="5.5703125" style="143" bestFit="1" customWidth="1"/>
    <col min="4625" max="4625" width="19.7109375" style="143" bestFit="1" customWidth="1"/>
    <col min="4626" max="4626" width="7.28515625" style="143" bestFit="1" customWidth="1"/>
    <col min="4627" max="4627" width="5.7109375" style="143" customWidth="1"/>
    <col min="4628" max="4628" width="5.42578125" style="143" customWidth="1"/>
    <col min="4629" max="4864" width="9.140625" style="143"/>
    <col min="4865" max="4865" width="29.7109375" style="143" customWidth="1"/>
    <col min="4866" max="4868" width="9.140625" style="143"/>
    <col min="4869" max="4869" width="9.28515625" style="143" customWidth="1"/>
    <col min="4870" max="4870" width="1.140625" style="143" customWidth="1"/>
    <col min="4871" max="4871" width="9.140625" style="143"/>
    <col min="4872" max="4872" width="9.5703125" style="143" customWidth="1"/>
    <col min="4873" max="4873" width="1.42578125" style="143" customWidth="1"/>
    <col min="4874" max="4874" width="13.7109375" style="143" customWidth="1"/>
    <col min="4875" max="4875" width="1.42578125" style="143" customWidth="1"/>
    <col min="4876" max="4876" width="17.42578125" style="143" customWidth="1"/>
    <col min="4877" max="4877" width="8.7109375" style="143" bestFit="1" customWidth="1"/>
    <col min="4878" max="4878" width="4.28515625" style="143" customWidth="1"/>
    <col min="4879" max="4879" width="3.5703125" style="143" customWidth="1"/>
    <col min="4880" max="4880" width="5.5703125" style="143" bestFit="1" customWidth="1"/>
    <col min="4881" max="4881" width="19.7109375" style="143" bestFit="1" customWidth="1"/>
    <col min="4882" max="4882" width="7.28515625" style="143" bestFit="1" customWidth="1"/>
    <col min="4883" max="4883" width="5.7109375" style="143" customWidth="1"/>
    <col min="4884" max="4884" width="5.42578125" style="143" customWidth="1"/>
    <col min="4885" max="5120" width="9.140625" style="143"/>
    <col min="5121" max="5121" width="29.7109375" style="143" customWidth="1"/>
    <col min="5122" max="5124" width="9.140625" style="143"/>
    <col min="5125" max="5125" width="9.28515625" style="143" customWidth="1"/>
    <col min="5126" max="5126" width="1.140625" style="143" customWidth="1"/>
    <col min="5127" max="5127" width="9.140625" style="143"/>
    <col min="5128" max="5128" width="9.5703125" style="143" customWidth="1"/>
    <col min="5129" max="5129" width="1.42578125" style="143" customWidth="1"/>
    <col min="5130" max="5130" width="13.7109375" style="143" customWidth="1"/>
    <col min="5131" max="5131" width="1.42578125" style="143" customWidth="1"/>
    <col min="5132" max="5132" width="17.42578125" style="143" customWidth="1"/>
    <col min="5133" max="5133" width="8.7109375" style="143" bestFit="1" customWidth="1"/>
    <col min="5134" max="5134" width="4.28515625" style="143" customWidth="1"/>
    <col min="5135" max="5135" width="3.5703125" style="143" customWidth="1"/>
    <col min="5136" max="5136" width="5.5703125" style="143" bestFit="1" customWidth="1"/>
    <col min="5137" max="5137" width="19.7109375" style="143" bestFit="1" customWidth="1"/>
    <col min="5138" max="5138" width="7.28515625" style="143" bestFit="1" customWidth="1"/>
    <col min="5139" max="5139" width="5.7109375" style="143" customWidth="1"/>
    <col min="5140" max="5140" width="5.42578125" style="143" customWidth="1"/>
    <col min="5141" max="5376" width="9.140625" style="143"/>
    <col min="5377" max="5377" width="29.7109375" style="143" customWidth="1"/>
    <col min="5378" max="5380" width="9.140625" style="143"/>
    <col min="5381" max="5381" width="9.28515625" style="143" customWidth="1"/>
    <col min="5382" max="5382" width="1.140625" style="143" customWidth="1"/>
    <col min="5383" max="5383" width="9.140625" style="143"/>
    <col min="5384" max="5384" width="9.5703125" style="143" customWidth="1"/>
    <col min="5385" max="5385" width="1.42578125" style="143" customWidth="1"/>
    <col min="5386" max="5386" width="13.7109375" style="143" customWidth="1"/>
    <col min="5387" max="5387" width="1.42578125" style="143" customWidth="1"/>
    <col min="5388" max="5388" width="17.42578125" style="143" customWidth="1"/>
    <col min="5389" max="5389" width="8.7109375" style="143" bestFit="1" customWidth="1"/>
    <col min="5390" max="5390" width="4.28515625" style="143" customWidth="1"/>
    <col min="5391" max="5391" width="3.5703125" style="143" customWidth="1"/>
    <col min="5392" max="5392" width="5.5703125" style="143" bestFit="1" customWidth="1"/>
    <col min="5393" max="5393" width="19.7109375" style="143" bestFit="1" customWidth="1"/>
    <col min="5394" max="5394" width="7.28515625" style="143" bestFit="1" customWidth="1"/>
    <col min="5395" max="5395" width="5.7109375" style="143" customWidth="1"/>
    <col min="5396" max="5396" width="5.42578125" style="143" customWidth="1"/>
    <col min="5397" max="5632" width="9.140625" style="143"/>
    <col min="5633" max="5633" width="29.7109375" style="143" customWidth="1"/>
    <col min="5634" max="5636" width="9.140625" style="143"/>
    <col min="5637" max="5637" width="9.28515625" style="143" customWidth="1"/>
    <col min="5638" max="5638" width="1.140625" style="143" customWidth="1"/>
    <col min="5639" max="5639" width="9.140625" style="143"/>
    <col min="5640" max="5640" width="9.5703125" style="143" customWidth="1"/>
    <col min="5641" max="5641" width="1.42578125" style="143" customWidth="1"/>
    <col min="5642" max="5642" width="13.7109375" style="143" customWidth="1"/>
    <col min="5643" max="5643" width="1.42578125" style="143" customWidth="1"/>
    <col min="5644" max="5644" width="17.42578125" style="143" customWidth="1"/>
    <col min="5645" max="5645" width="8.7109375" style="143" bestFit="1" customWidth="1"/>
    <col min="5646" max="5646" width="4.28515625" style="143" customWidth="1"/>
    <col min="5647" max="5647" width="3.5703125" style="143" customWidth="1"/>
    <col min="5648" max="5648" width="5.5703125" style="143" bestFit="1" customWidth="1"/>
    <col min="5649" max="5649" width="19.7109375" style="143" bestFit="1" customWidth="1"/>
    <col min="5650" max="5650" width="7.28515625" style="143" bestFit="1" customWidth="1"/>
    <col min="5651" max="5651" width="5.7109375" style="143" customWidth="1"/>
    <col min="5652" max="5652" width="5.42578125" style="143" customWidth="1"/>
    <col min="5653" max="5888" width="9.140625" style="143"/>
    <col min="5889" max="5889" width="29.7109375" style="143" customWidth="1"/>
    <col min="5890" max="5892" width="9.140625" style="143"/>
    <col min="5893" max="5893" width="9.28515625" style="143" customWidth="1"/>
    <col min="5894" max="5894" width="1.140625" style="143" customWidth="1"/>
    <col min="5895" max="5895" width="9.140625" style="143"/>
    <col min="5896" max="5896" width="9.5703125" style="143" customWidth="1"/>
    <col min="5897" max="5897" width="1.42578125" style="143" customWidth="1"/>
    <col min="5898" max="5898" width="13.7109375" style="143" customWidth="1"/>
    <col min="5899" max="5899" width="1.42578125" style="143" customWidth="1"/>
    <col min="5900" max="5900" width="17.42578125" style="143" customWidth="1"/>
    <col min="5901" max="5901" width="8.7109375" style="143" bestFit="1" customWidth="1"/>
    <col min="5902" max="5902" width="4.28515625" style="143" customWidth="1"/>
    <col min="5903" max="5903" width="3.5703125" style="143" customWidth="1"/>
    <col min="5904" max="5904" width="5.5703125" style="143" bestFit="1" customWidth="1"/>
    <col min="5905" max="5905" width="19.7109375" style="143" bestFit="1" customWidth="1"/>
    <col min="5906" max="5906" width="7.28515625" style="143" bestFit="1" customWidth="1"/>
    <col min="5907" max="5907" width="5.7109375" style="143" customWidth="1"/>
    <col min="5908" max="5908" width="5.42578125" style="143" customWidth="1"/>
    <col min="5909" max="6144" width="9.140625" style="143"/>
    <col min="6145" max="6145" width="29.7109375" style="143" customWidth="1"/>
    <col min="6146" max="6148" width="9.140625" style="143"/>
    <col min="6149" max="6149" width="9.28515625" style="143" customWidth="1"/>
    <col min="6150" max="6150" width="1.140625" style="143" customWidth="1"/>
    <col min="6151" max="6151" width="9.140625" style="143"/>
    <col min="6152" max="6152" width="9.5703125" style="143" customWidth="1"/>
    <col min="6153" max="6153" width="1.42578125" style="143" customWidth="1"/>
    <col min="6154" max="6154" width="13.7109375" style="143" customWidth="1"/>
    <col min="6155" max="6155" width="1.42578125" style="143" customWidth="1"/>
    <col min="6156" max="6156" width="17.42578125" style="143" customWidth="1"/>
    <col min="6157" max="6157" width="8.7109375" style="143" bestFit="1" customWidth="1"/>
    <col min="6158" max="6158" width="4.28515625" style="143" customWidth="1"/>
    <col min="6159" max="6159" width="3.5703125" style="143" customWidth="1"/>
    <col min="6160" max="6160" width="5.5703125" style="143" bestFit="1" customWidth="1"/>
    <col min="6161" max="6161" width="19.7109375" style="143" bestFit="1" customWidth="1"/>
    <col min="6162" max="6162" width="7.28515625" style="143" bestFit="1" customWidth="1"/>
    <col min="6163" max="6163" width="5.7109375" style="143" customWidth="1"/>
    <col min="6164" max="6164" width="5.42578125" style="143" customWidth="1"/>
    <col min="6165" max="6400" width="9.140625" style="143"/>
    <col min="6401" max="6401" width="29.7109375" style="143" customWidth="1"/>
    <col min="6402" max="6404" width="9.140625" style="143"/>
    <col min="6405" max="6405" width="9.28515625" style="143" customWidth="1"/>
    <col min="6406" max="6406" width="1.140625" style="143" customWidth="1"/>
    <col min="6407" max="6407" width="9.140625" style="143"/>
    <col min="6408" max="6408" width="9.5703125" style="143" customWidth="1"/>
    <col min="6409" max="6409" width="1.42578125" style="143" customWidth="1"/>
    <col min="6410" max="6410" width="13.7109375" style="143" customWidth="1"/>
    <col min="6411" max="6411" width="1.42578125" style="143" customWidth="1"/>
    <col min="6412" max="6412" width="17.42578125" style="143" customWidth="1"/>
    <col min="6413" max="6413" width="8.7109375" style="143" bestFit="1" customWidth="1"/>
    <col min="6414" max="6414" width="4.28515625" style="143" customWidth="1"/>
    <col min="6415" max="6415" width="3.5703125" style="143" customWidth="1"/>
    <col min="6416" max="6416" width="5.5703125" style="143" bestFit="1" customWidth="1"/>
    <col min="6417" max="6417" width="19.7109375" style="143" bestFit="1" customWidth="1"/>
    <col min="6418" max="6418" width="7.28515625" style="143" bestFit="1" customWidth="1"/>
    <col min="6419" max="6419" width="5.7109375" style="143" customWidth="1"/>
    <col min="6420" max="6420" width="5.42578125" style="143" customWidth="1"/>
    <col min="6421" max="6656" width="9.140625" style="143"/>
    <col min="6657" max="6657" width="29.7109375" style="143" customWidth="1"/>
    <col min="6658" max="6660" width="9.140625" style="143"/>
    <col min="6661" max="6661" width="9.28515625" style="143" customWidth="1"/>
    <col min="6662" max="6662" width="1.140625" style="143" customWidth="1"/>
    <col min="6663" max="6663" width="9.140625" style="143"/>
    <col min="6664" max="6664" width="9.5703125" style="143" customWidth="1"/>
    <col min="6665" max="6665" width="1.42578125" style="143" customWidth="1"/>
    <col min="6666" max="6666" width="13.7109375" style="143" customWidth="1"/>
    <col min="6667" max="6667" width="1.42578125" style="143" customWidth="1"/>
    <col min="6668" max="6668" width="17.42578125" style="143" customWidth="1"/>
    <col min="6669" max="6669" width="8.7109375" style="143" bestFit="1" customWidth="1"/>
    <col min="6670" max="6670" width="4.28515625" style="143" customWidth="1"/>
    <col min="6671" max="6671" width="3.5703125" style="143" customWidth="1"/>
    <col min="6672" max="6672" width="5.5703125" style="143" bestFit="1" customWidth="1"/>
    <col min="6673" max="6673" width="19.7109375" style="143" bestFit="1" customWidth="1"/>
    <col min="6674" max="6674" width="7.28515625" style="143" bestFit="1" customWidth="1"/>
    <col min="6675" max="6675" width="5.7109375" style="143" customWidth="1"/>
    <col min="6676" max="6676" width="5.42578125" style="143" customWidth="1"/>
    <col min="6677" max="6912" width="9.140625" style="143"/>
    <col min="6913" max="6913" width="29.7109375" style="143" customWidth="1"/>
    <col min="6914" max="6916" width="9.140625" style="143"/>
    <col min="6917" max="6917" width="9.28515625" style="143" customWidth="1"/>
    <col min="6918" max="6918" width="1.140625" style="143" customWidth="1"/>
    <col min="6919" max="6919" width="9.140625" style="143"/>
    <col min="6920" max="6920" width="9.5703125" style="143" customWidth="1"/>
    <col min="6921" max="6921" width="1.42578125" style="143" customWidth="1"/>
    <col min="6922" max="6922" width="13.7109375" style="143" customWidth="1"/>
    <col min="6923" max="6923" width="1.42578125" style="143" customWidth="1"/>
    <col min="6924" max="6924" width="17.42578125" style="143" customWidth="1"/>
    <col min="6925" max="6925" width="8.7109375" style="143" bestFit="1" customWidth="1"/>
    <col min="6926" max="6926" width="4.28515625" style="143" customWidth="1"/>
    <col min="6927" max="6927" width="3.5703125" style="143" customWidth="1"/>
    <col min="6928" max="6928" width="5.5703125" style="143" bestFit="1" customWidth="1"/>
    <col min="6929" max="6929" width="19.7109375" style="143" bestFit="1" customWidth="1"/>
    <col min="6930" max="6930" width="7.28515625" style="143" bestFit="1" customWidth="1"/>
    <col min="6931" max="6931" width="5.7109375" style="143" customWidth="1"/>
    <col min="6932" max="6932" width="5.42578125" style="143" customWidth="1"/>
    <col min="6933" max="7168" width="9.140625" style="143"/>
    <col min="7169" max="7169" width="29.7109375" style="143" customWidth="1"/>
    <col min="7170" max="7172" width="9.140625" style="143"/>
    <col min="7173" max="7173" width="9.28515625" style="143" customWidth="1"/>
    <col min="7174" max="7174" width="1.140625" style="143" customWidth="1"/>
    <col min="7175" max="7175" width="9.140625" style="143"/>
    <col min="7176" max="7176" width="9.5703125" style="143" customWidth="1"/>
    <col min="7177" max="7177" width="1.42578125" style="143" customWidth="1"/>
    <col min="7178" max="7178" width="13.7109375" style="143" customWidth="1"/>
    <col min="7179" max="7179" width="1.42578125" style="143" customWidth="1"/>
    <col min="7180" max="7180" width="17.42578125" style="143" customWidth="1"/>
    <col min="7181" max="7181" width="8.7109375" style="143" bestFit="1" customWidth="1"/>
    <col min="7182" max="7182" width="4.28515625" style="143" customWidth="1"/>
    <col min="7183" max="7183" width="3.5703125" style="143" customWidth="1"/>
    <col min="7184" max="7184" width="5.5703125" style="143" bestFit="1" customWidth="1"/>
    <col min="7185" max="7185" width="19.7109375" style="143" bestFit="1" customWidth="1"/>
    <col min="7186" max="7186" width="7.28515625" style="143" bestFit="1" customWidth="1"/>
    <col min="7187" max="7187" width="5.7109375" style="143" customWidth="1"/>
    <col min="7188" max="7188" width="5.42578125" style="143" customWidth="1"/>
    <col min="7189" max="7424" width="9.140625" style="143"/>
    <col min="7425" max="7425" width="29.7109375" style="143" customWidth="1"/>
    <col min="7426" max="7428" width="9.140625" style="143"/>
    <col min="7429" max="7429" width="9.28515625" style="143" customWidth="1"/>
    <col min="7430" max="7430" width="1.140625" style="143" customWidth="1"/>
    <col min="7431" max="7431" width="9.140625" style="143"/>
    <col min="7432" max="7432" width="9.5703125" style="143" customWidth="1"/>
    <col min="7433" max="7433" width="1.42578125" style="143" customWidth="1"/>
    <col min="7434" max="7434" width="13.7109375" style="143" customWidth="1"/>
    <col min="7435" max="7435" width="1.42578125" style="143" customWidth="1"/>
    <col min="7436" max="7436" width="17.42578125" style="143" customWidth="1"/>
    <col min="7437" max="7437" width="8.7109375" style="143" bestFit="1" customWidth="1"/>
    <col min="7438" max="7438" width="4.28515625" style="143" customWidth="1"/>
    <col min="7439" max="7439" width="3.5703125" style="143" customWidth="1"/>
    <col min="7440" max="7440" width="5.5703125" style="143" bestFit="1" customWidth="1"/>
    <col min="7441" max="7441" width="19.7109375" style="143" bestFit="1" customWidth="1"/>
    <col min="7442" max="7442" width="7.28515625" style="143" bestFit="1" customWidth="1"/>
    <col min="7443" max="7443" width="5.7109375" style="143" customWidth="1"/>
    <col min="7444" max="7444" width="5.42578125" style="143" customWidth="1"/>
    <col min="7445" max="7680" width="9.140625" style="143"/>
    <col min="7681" max="7681" width="29.7109375" style="143" customWidth="1"/>
    <col min="7682" max="7684" width="9.140625" style="143"/>
    <col min="7685" max="7685" width="9.28515625" style="143" customWidth="1"/>
    <col min="7686" max="7686" width="1.140625" style="143" customWidth="1"/>
    <col min="7687" max="7687" width="9.140625" style="143"/>
    <col min="7688" max="7688" width="9.5703125" style="143" customWidth="1"/>
    <col min="7689" max="7689" width="1.42578125" style="143" customWidth="1"/>
    <col min="7690" max="7690" width="13.7109375" style="143" customWidth="1"/>
    <col min="7691" max="7691" width="1.42578125" style="143" customWidth="1"/>
    <col min="7692" max="7692" width="17.42578125" style="143" customWidth="1"/>
    <col min="7693" max="7693" width="8.7109375" style="143" bestFit="1" customWidth="1"/>
    <col min="7694" max="7694" width="4.28515625" style="143" customWidth="1"/>
    <col min="7695" max="7695" width="3.5703125" style="143" customWidth="1"/>
    <col min="7696" max="7696" width="5.5703125" style="143" bestFit="1" customWidth="1"/>
    <col min="7697" max="7697" width="19.7109375" style="143" bestFit="1" customWidth="1"/>
    <col min="7698" max="7698" width="7.28515625" style="143" bestFit="1" customWidth="1"/>
    <col min="7699" max="7699" width="5.7109375" style="143" customWidth="1"/>
    <col min="7700" max="7700" width="5.42578125" style="143" customWidth="1"/>
    <col min="7701" max="7936" width="9.140625" style="143"/>
    <col min="7937" max="7937" width="29.7109375" style="143" customWidth="1"/>
    <col min="7938" max="7940" width="9.140625" style="143"/>
    <col min="7941" max="7941" width="9.28515625" style="143" customWidth="1"/>
    <col min="7942" max="7942" width="1.140625" style="143" customWidth="1"/>
    <col min="7943" max="7943" width="9.140625" style="143"/>
    <col min="7944" max="7944" width="9.5703125" style="143" customWidth="1"/>
    <col min="7945" max="7945" width="1.42578125" style="143" customWidth="1"/>
    <col min="7946" max="7946" width="13.7109375" style="143" customWidth="1"/>
    <col min="7947" max="7947" width="1.42578125" style="143" customWidth="1"/>
    <col min="7948" max="7948" width="17.42578125" style="143" customWidth="1"/>
    <col min="7949" max="7949" width="8.7109375" style="143" bestFit="1" customWidth="1"/>
    <col min="7950" max="7950" width="4.28515625" style="143" customWidth="1"/>
    <col min="7951" max="7951" width="3.5703125" style="143" customWidth="1"/>
    <col min="7952" max="7952" width="5.5703125" style="143" bestFit="1" customWidth="1"/>
    <col min="7953" max="7953" width="19.7109375" style="143" bestFit="1" customWidth="1"/>
    <col min="7954" max="7954" width="7.28515625" style="143" bestFit="1" customWidth="1"/>
    <col min="7955" max="7955" width="5.7109375" style="143" customWidth="1"/>
    <col min="7956" max="7956" width="5.42578125" style="143" customWidth="1"/>
    <col min="7957" max="8192" width="9.140625" style="143"/>
    <col min="8193" max="8193" width="29.7109375" style="143" customWidth="1"/>
    <col min="8194" max="8196" width="9.140625" style="143"/>
    <col min="8197" max="8197" width="9.28515625" style="143" customWidth="1"/>
    <col min="8198" max="8198" width="1.140625" style="143" customWidth="1"/>
    <col min="8199" max="8199" width="9.140625" style="143"/>
    <col min="8200" max="8200" width="9.5703125" style="143" customWidth="1"/>
    <col min="8201" max="8201" width="1.42578125" style="143" customWidth="1"/>
    <col min="8202" max="8202" width="13.7109375" style="143" customWidth="1"/>
    <col min="8203" max="8203" width="1.42578125" style="143" customWidth="1"/>
    <col min="8204" max="8204" width="17.42578125" style="143" customWidth="1"/>
    <col min="8205" max="8205" width="8.7109375" style="143" bestFit="1" customWidth="1"/>
    <col min="8206" max="8206" width="4.28515625" style="143" customWidth="1"/>
    <col min="8207" max="8207" width="3.5703125" style="143" customWidth="1"/>
    <col min="8208" max="8208" width="5.5703125" style="143" bestFit="1" customWidth="1"/>
    <col min="8209" max="8209" width="19.7109375" style="143" bestFit="1" customWidth="1"/>
    <col min="8210" max="8210" width="7.28515625" style="143" bestFit="1" customWidth="1"/>
    <col min="8211" max="8211" width="5.7109375" style="143" customWidth="1"/>
    <col min="8212" max="8212" width="5.42578125" style="143" customWidth="1"/>
    <col min="8213" max="8448" width="9.140625" style="143"/>
    <col min="8449" max="8449" width="29.7109375" style="143" customWidth="1"/>
    <col min="8450" max="8452" width="9.140625" style="143"/>
    <col min="8453" max="8453" width="9.28515625" style="143" customWidth="1"/>
    <col min="8454" max="8454" width="1.140625" style="143" customWidth="1"/>
    <col min="8455" max="8455" width="9.140625" style="143"/>
    <col min="8456" max="8456" width="9.5703125" style="143" customWidth="1"/>
    <col min="8457" max="8457" width="1.42578125" style="143" customWidth="1"/>
    <col min="8458" max="8458" width="13.7109375" style="143" customWidth="1"/>
    <col min="8459" max="8459" width="1.42578125" style="143" customWidth="1"/>
    <col min="8460" max="8460" width="17.42578125" style="143" customWidth="1"/>
    <col min="8461" max="8461" width="8.7109375" style="143" bestFit="1" customWidth="1"/>
    <col min="8462" max="8462" width="4.28515625" style="143" customWidth="1"/>
    <col min="8463" max="8463" width="3.5703125" style="143" customWidth="1"/>
    <col min="8464" max="8464" width="5.5703125" style="143" bestFit="1" customWidth="1"/>
    <col min="8465" max="8465" width="19.7109375" style="143" bestFit="1" customWidth="1"/>
    <col min="8466" max="8466" width="7.28515625" style="143" bestFit="1" customWidth="1"/>
    <col min="8467" max="8467" width="5.7109375" style="143" customWidth="1"/>
    <col min="8468" max="8468" width="5.42578125" style="143" customWidth="1"/>
    <col min="8469" max="8704" width="9.140625" style="143"/>
    <col min="8705" max="8705" width="29.7109375" style="143" customWidth="1"/>
    <col min="8706" max="8708" width="9.140625" style="143"/>
    <col min="8709" max="8709" width="9.28515625" style="143" customWidth="1"/>
    <col min="8710" max="8710" width="1.140625" style="143" customWidth="1"/>
    <col min="8711" max="8711" width="9.140625" style="143"/>
    <col min="8712" max="8712" width="9.5703125" style="143" customWidth="1"/>
    <col min="8713" max="8713" width="1.42578125" style="143" customWidth="1"/>
    <col min="8714" max="8714" width="13.7109375" style="143" customWidth="1"/>
    <col min="8715" max="8715" width="1.42578125" style="143" customWidth="1"/>
    <col min="8716" max="8716" width="17.42578125" style="143" customWidth="1"/>
    <col min="8717" max="8717" width="8.7109375" style="143" bestFit="1" customWidth="1"/>
    <col min="8718" max="8718" width="4.28515625" style="143" customWidth="1"/>
    <col min="8719" max="8719" width="3.5703125" style="143" customWidth="1"/>
    <col min="8720" max="8720" width="5.5703125" style="143" bestFit="1" customWidth="1"/>
    <col min="8721" max="8721" width="19.7109375" style="143" bestFit="1" customWidth="1"/>
    <col min="8722" max="8722" width="7.28515625" style="143" bestFit="1" customWidth="1"/>
    <col min="8723" max="8723" width="5.7109375" style="143" customWidth="1"/>
    <col min="8724" max="8724" width="5.42578125" style="143" customWidth="1"/>
    <col min="8725" max="8960" width="9.140625" style="143"/>
    <col min="8961" max="8961" width="29.7109375" style="143" customWidth="1"/>
    <col min="8962" max="8964" width="9.140625" style="143"/>
    <col min="8965" max="8965" width="9.28515625" style="143" customWidth="1"/>
    <col min="8966" max="8966" width="1.140625" style="143" customWidth="1"/>
    <col min="8967" max="8967" width="9.140625" style="143"/>
    <col min="8968" max="8968" width="9.5703125" style="143" customWidth="1"/>
    <col min="8969" max="8969" width="1.42578125" style="143" customWidth="1"/>
    <col min="8970" max="8970" width="13.7109375" style="143" customWidth="1"/>
    <col min="8971" max="8971" width="1.42578125" style="143" customWidth="1"/>
    <col min="8972" max="8972" width="17.42578125" style="143" customWidth="1"/>
    <col min="8973" max="8973" width="8.7109375" style="143" bestFit="1" customWidth="1"/>
    <col min="8974" max="8974" width="4.28515625" style="143" customWidth="1"/>
    <col min="8975" max="8975" width="3.5703125" style="143" customWidth="1"/>
    <col min="8976" max="8976" width="5.5703125" style="143" bestFit="1" customWidth="1"/>
    <col min="8977" max="8977" width="19.7109375" style="143" bestFit="1" customWidth="1"/>
    <col min="8978" max="8978" width="7.28515625" style="143" bestFit="1" customWidth="1"/>
    <col min="8979" max="8979" width="5.7109375" style="143" customWidth="1"/>
    <col min="8980" max="8980" width="5.42578125" style="143" customWidth="1"/>
    <col min="8981" max="9216" width="9.140625" style="143"/>
    <col min="9217" max="9217" width="29.7109375" style="143" customWidth="1"/>
    <col min="9218" max="9220" width="9.140625" style="143"/>
    <col min="9221" max="9221" width="9.28515625" style="143" customWidth="1"/>
    <col min="9222" max="9222" width="1.140625" style="143" customWidth="1"/>
    <col min="9223" max="9223" width="9.140625" style="143"/>
    <col min="9224" max="9224" width="9.5703125" style="143" customWidth="1"/>
    <col min="9225" max="9225" width="1.42578125" style="143" customWidth="1"/>
    <col min="9226" max="9226" width="13.7109375" style="143" customWidth="1"/>
    <col min="9227" max="9227" width="1.42578125" style="143" customWidth="1"/>
    <col min="9228" max="9228" width="17.42578125" style="143" customWidth="1"/>
    <col min="9229" max="9229" width="8.7109375" style="143" bestFit="1" customWidth="1"/>
    <col min="9230" max="9230" width="4.28515625" style="143" customWidth="1"/>
    <col min="9231" max="9231" width="3.5703125" style="143" customWidth="1"/>
    <col min="9232" max="9232" width="5.5703125" style="143" bestFit="1" customWidth="1"/>
    <col min="9233" max="9233" width="19.7109375" style="143" bestFit="1" customWidth="1"/>
    <col min="9234" max="9234" width="7.28515625" style="143" bestFit="1" customWidth="1"/>
    <col min="9235" max="9235" width="5.7109375" style="143" customWidth="1"/>
    <col min="9236" max="9236" width="5.42578125" style="143" customWidth="1"/>
    <col min="9237" max="9472" width="9.140625" style="143"/>
    <col min="9473" max="9473" width="29.7109375" style="143" customWidth="1"/>
    <col min="9474" max="9476" width="9.140625" style="143"/>
    <col min="9477" max="9477" width="9.28515625" style="143" customWidth="1"/>
    <col min="9478" max="9478" width="1.140625" style="143" customWidth="1"/>
    <col min="9479" max="9479" width="9.140625" style="143"/>
    <col min="9480" max="9480" width="9.5703125" style="143" customWidth="1"/>
    <col min="9481" max="9481" width="1.42578125" style="143" customWidth="1"/>
    <col min="9482" max="9482" width="13.7109375" style="143" customWidth="1"/>
    <col min="9483" max="9483" width="1.42578125" style="143" customWidth="1"/>
    <col min="9484" max="9484" width="17.42578125" style="143" customWidth="1"/>
    <col min="9485" max="9485" width="8.7109375" style="143" bestFit="1" customWidth="1"/>
    <col min="9486" max="9486" width="4.28515625" style="143" customWidth="1"/>
    <col min="9487" max="9487" width="3.5703125" style="143" customWidth="1"/>
    <col min="9488" max="9488" width="5.5703125" style="143" bestFit="1" customWidth="1"/>
    <col min="9489" max="9489" width="19.7109375" style="143" bestFit="1" customWidth="1"/>
    <col min="9490" max="9490" width="7.28515625" style="143" bestFit="1" customWidth="1"/>
    <col min="9491" max="9491" width="5.7109375" style="143" customWidth="1"/>
    <col min="9492" max="9492" width="5.42578125" style="143" customWidth="1"/>
    <col min="9493" max="9728" width="9.140625" style="143"/>
    <col min="9729" max="9729" width="29.7109375" style="143" customWidth="1"/>
    <col min="9730" max="9732" width="9.140625" style="143"/>
    <col min="9733" max="9733" width="9.28515625" style="143" customWidth="1"/>
    <col min="9734" max="9734" width="1.140625" style="143" customWidth="1"/>
    <col min="9735" max="9735" width="9.140625" style="143"/>
    <col min="9736" max="9736" width="9.5703125" style="143" customWidth="1"/>
    <col min="9737" max="9737" width="1.42578125" style="143" customWidth="1"/>
    <col min="9738" max="9738" width="13.7109375" style="143" customWidth="1"/>
    <col min="9739" max="9739" width="1.42578125" style="143" customWidth="1"/>
    <col min="9740" max="9740" width="17.42578125" style="143" customWidth="1"/>
    <col min="9741" max="9741" width="8.7109375" style="143" bestFit="1" customWidth="1"/>
    <col min="9742" max="9742" width="4.28515625" style="143" customWidth="1"/>
    <col min="9743" max="9743" width="3.5703125" style="143" customWidth="1"/>
    <col min="9744" max="9744" width="5.5703125" style="143" bestFit="1" customWidth="1"/>
    <col min="9745" max="9745" width="19.7109375" style="143" bestFit="1" customWidth="1"/>
    <col min="9746" max="9746" width="7.28515625" style="143" bestFit="1" customWidth="1"/>
    <col min="9747" max="9747" width="5.7109375" style="143" customWidth="1"/>
    <col min="9748" max="9748" width="5.42578125" style="143" customWidth="1"/>
    <col min="9749" max="9984" width="9.140625" style="143"/>
    <col min="9985" max="9985" width="29.7109375" style="143" customWidth="1"/>
    <col min="9986" max="9988" width="9.140625" style="143"/>
    <col min="9989" max="9989" width="9.28515625" style="143" customWidth="1"/>
    <col min="9990" max="9990" width="1.140625" style="143" customWidth="1"/>
    <col min="9991" max="9991" width="9.140625" style="143"/>
    <col min="9992" max="9992" width="9.5703125" style="143" customWidth="1"/>
    <col min="9993" max="9993" width="1.42578125" style="143" customWidth="1"/>
    <col min="9994" max="9994" width="13.7109375" style="143" customWidth="1"/>
    <col min="9995" max="9995" width="1.42578125" style="143" customWidth="1"/>
    <col min="9996" max="9996" width="17.42578125" style="143" customWidth="1"/>
    <col min="9997" max="9997" width="8.7109375" style="143" bestFit="1" customWidth="1"/>
    <col min="9998" max="9998" width="4.28515625" style="143" customWidth="1"/>
    <col min="9999" max="9999" width="3.5703125" style="143" customWidth="1"/>
    <col min="10000" max="10000" width="5.5703125" style="143" bestFit="1" customWidth="1"/>
    <col min="10001" max="10001" width="19.7109375" style="143" bestFit="1" customWidth="1"/>
    <col min="10002" max="10002" width="7.28515625" style="143" bestFit="1" customWidth="1"/>
    <col min="10003" max="10003" width="5.7109375" style="143" customWidth="1"/>
    <col min="10004" max="10004" width="5.42578125" style="143" customWidth="1"/>
    <col min="10005" max="10240" width="9.140625" style="143"/>
    <col min="10241" max="10241" width="29.7109375" style="143" customWidth="1"/>
    <col min="10242" max="10244" width="9.140625" style="143"/>
    <col min="10245" max="10245" width="9.28515625" style="143" customWidth="1"/>
    <col min="10246" max="10246" width="1.140625" style="143" customWidth="1"/>
    <col min="10247" max="10247" width="9.140625" style="143"/>
    <col min="10248" max="10248" width="9.5703125" style="143" customWidth="1"/>
    <col min="10249" max="10249" width="1.42578125" style="143" customWidth="1"/>
    <col min="10250" max="10250" width="13.7109375" style="143" customWidth="1"/>
    <col min="10251" max="10251" width="1.42578125" style="143" customWidth="1"/>
    <col min="10252" max="10252" width="17.42578125" style="143" customWidth="1"/>
    <col min="10253" max="10253" width="8.7109375" style="143" bestFit="1" customWidth="1"/>
    <col min="10254" max="10254" width="4.28515625" style="143" customWidth="1"/>
    <col min="10255" max="10255" width="3.5703125" style="143" customWidth="1"/>
    <col min="10256" max="10256" width="5.5703125" style="143" bestFit="1" customWidth="1"/>
    <col min="10257" max="10257" width="19.7109375" style="143" bestFit="1" customWidth="1"/>
    <col min="10258" max="10258" width="7.28515625" style="143" bestFit="1" customWidth="1"/>
    <col min="10259" max="10259" width="5.7109375" style="143" customWidth="1"/>
    <col min="10260" max="10260" width="5.42578125" style="143" customWidth="1"/>
    <col min="10261" max="10496" width="9.140625" style="143"/>
    <col min="10497" max="10497" width="29.7109375" style="143" customWidth="1"/>
    <col min="10498" max="10500" width="9.140625" style="143"/>
    <col min="10501" max="10501" width="9.28515625" style="143" customWidth="1"/>
    <col min="10502" max="10502" width="1.140625" style="143" customWidth="1"/>
    <col min="10503" max="10503" width="9.140625" style="143"/>
    <col min="10504" max="10504" width="9.5703125" style="143" customWidth="1"/>
    <col min="10505" max="10505" width="1.42578125" style="143" customWidth="1"/>
    <col min="10506" max="10506" width="13.7109375" style="143" customWidth="1"/>
    <col min="10507" max="10507" width="1.42578125" style="143" customWidth="1"/>
    <col min="10508" max="10508" width="17.42578125" style="143" customWidth="1"/>
    <col min="10509" max="10509" width="8.7109375" style="143" bestFit="1" customWidth="1"/>
    <col min="10510" max="10510" width="4.28515625" style="143" customWidth="1"/>
    <col min="10511" max="10511" width="3.5703125" style="143" customWidth="1"/>
    <col min="10512" max="10512" width="5.5703125" style="143" bestFit="1" customWidth="1"/>
    <col min="10513" max="10513" width="19.7109375" style="143" bestFit="1" customWidth="1"/>
    <col min="10514" max="10514" width="7.28515625" style="143" bestFit="1" customWidth="1"/>
    <col min="10515" max="10515" width="5.7109375" style="143" customWidth="1"/>
    <col min="10516" max="10516" width="5.42578125" style="143" customWidth="1"/>
    <col min="10517" max="10752" width="9.140625" style="143"/>
    <col min="10753" max="10753" width="29.7109375" style="143" customWidth="1"/>
    <col min="10754" max="10756" width="9.140625" style="143"/>
    <col min="10757" max="10757" width="9.28515625" style="143" customWidth="1"/>
    <col min="10758" max="10758" width="1.140625" style="143" customWidth="1"/>
    <col min="10759" max="10759" width="9.140625" style="143"/>
    <col min="10760" max="10760" width="9.5703125" style="143" customWidth="1"/>
    <col min="10761" max="10761" width="1.42578125" style="143" customWidth="1"/>
    <col min="10762" max="10762" width="13.7109375" style="143" customWidth="1"/>
    <col min="10763" max="10763" width="1.42578125" style="143" customWidth="1"/>
    <col min="10764" max="10764" width="17.42578125" style="143" customWidth="1"/>
    <col min="10765" max="10765" width="8.7109375" style="143" bestFit="1" customWidth="1"/>
    <col min="10766" max="10766" width="4.28515625" style="143" customWidth="1"/>
    <col min="10767" max="10767" width="3.5703125" style="143" customWidth="1"/>
    <col min="10768" max="10768" width="5.5703125" style="143" bestFit="1" customWidth="1"/>
    <col min="10769" max="10769" width="19.7109375" style="143" bestFit="1" customWidth="1"/>
    <col min="10770" max="10770" width="7.28515625" style="143" bestFit="1" customWidth="1"/>
    <col min="10771" max="10771" width="5.7109375" style="143" customWidth="1"/>
    <col min="10772" max="10772" width="5.42578125" style="143" customWidth="1"/>
    <col min="10773" max="11008" width="9.140625" style="143"/>
    <col min="11009" max="11009" width="29.7109375" style="143" customWidth="1"/>
    <col min="11010" max="11012" width="9.140625" style="143"/>
    <col min="11013" max="11013" width="9.28515625" style="143" customWidth="1"/>
    <col min="11014" max="11014" width="1.140625" style="143" customWidth="1"/>
    <col min="11015" max="11015" width="9.140625" style="143"/>
    <col min="11016" max="11016" width="9.5703125" style="143" customWidth="1"/>
    <col min="11017" max="11017" width="1.42578125" style="143" customWidth="1"/>
    <col min="11018" max="11018" width="13.7109375" style="143" customWidth="1"/>
    <col min="11019" max="11019" width="1.42578125" style="143" customWidth="1"/>
    <col min="11020" max="11020" width="17.42578125" style="143" customWidth="1"/>
    <col min="11021" max="11021" width="8.7109375" style="143" bestFit="1" customWidth="1"/>
    <col min="11022" max="11022" width="4.28515625" style="143" customWidth="1"/>
    <col min="11023" max="11023" width="3.5703125" style="143" customWidth="1"/>
    <col min="11024" max="11024" width="5.5703125" style="143" bestFit="1" customWidth="1"/>
    <col min="11025" max="11025" width="19.7109375" style="143" bestFit="1" customWidth="1"/>
    <col min="11026" max="11026" width="7.28515625" style="143" bestFit="1" customWidth="1"/>
    <col min="11027" max="11027" width="5.7109375" style="143" customWidth="1"/>
    <col min="11028" max="11028" width="5.42578125" style="143" customWidth="1"/>
    <col min="11029" max="11264" width="9.140625" style="143"/>
    <col min="11265" max="11265" width="29.7109375" style="143" customWidth="1"/>
    <col min="11266" max="11268" width="9.140625" style="143"/>
    <col min="11269" max="11269" width="9.28515625" style="143" customWidth="1"/>
    <col min="11270" max="11270" width="1.140625" style="143" customWidth="1"/>
    <col min="11271" max="11271" width="9.140625" style="143"/>
    <col min="11272" max="11272" width="9.5703125" style="143" customWidth="1"/>
    <col min="11273" max="11273" width="1.42578125" style="143" customWidth="1"/>
    <col min="11274" max="11274" width="13.7109375" style="143" customWidth="1"/>
    <col min="11275" max="11275" width="1.42578125" style="143" customWidth="1"/>
    <col min="11276" max="11276" width="17.42578125" style="143" customWidth="1"/>
    <col min="11277" max="11277" width="8.7109375" style="143" bestFit="1" customWidth="1"/>
    <col min="11278" max="11278" width="4.28515625" style="143" customWidth="1"/>
    <col min="11279" max="11279" width="3.5703125" style="143" customWidth="1"/>
    <col min="11280" max="11280" width="5.5703125" style="143" bestFit="1" customWidth="1"/>
    <col min="11281" max="11281" width="19.7109375" style="143" bestFit="1" customWidth="1"/>
    <col min="11282" max="11282" width="7.28515625" style="143" bestFit="1" customWidth="1"/>
    <col min="11283" max="11283" width="5.7109375" style="143" customWidth="1"/>
    <col min="11284" max="11284" width="5.42578125" style="143" customWidth="1"/>
    <col min="11285" max="11520" width="9.140625" style="143"/>
    <col min="11521" max="11521" width="29.7109375" style="143" customWidth="1"/>
    <col min="11522" max="11524" width="9.140625" style="143"/>
    <col min="11525" max="11525" width="9.28515625" style="143" customWidth="1"/>
    <col min="11526" max="11526" width="1.140625" style="143" customWidth="1"/>
    <col min="11527" max="11527" width="9.140625" style="143"/>
    <col min="11528" max="11528" width="9.5703125" style="143" customWidth="1"/>
    <col min="11529" max="11529" width="1.42578125" style="143" customWidth="1"/>
    <col min="11530" max="11530" width="13.7109375" style="143" customWidth="1"/>
    <col min="11531" max="11531" width="1.42578125" style="143" customWidth="1"/>
    <col min="11532" max="11532" width="17.42578125" style="143" customWidth="1"/>
    <col min="11533" max="11533" width="8.7109375" style="143" bestFit="1" customWidth="1"/>
    <col min="11534" max="11534" width="4.28515625" style="143" customWidth="1"/>
    <col min="11535" max="11535" width="3.5703125" style="143" customWidth="1"/>
    <col min="11536" max="11536" width="5.5703125" style="143" bestFit="1" customWidth="1"/>
    <col min="11537" max="11537" width="19.7109375" style="143" bestFit="1" customWidth="1"/>
    <col min="11538" max="11538" width="7.28515625" style="143" bestFit="1" customWidth="1"/>
    <col min="11539" max="11539" width="5.7109375" style="143" customWidth="1"/>
    <col min="11540" max="11540" width="5.42578125" style="143" customWidth="1"/>
    <col min="11541" max="11776" width="9.140625" style="143"/>
    <col min="11777" max="11777" width="29.7109375" style="143" customWidth="1"/>
    <col min="11778" max="11780" width="9.140625" style="143"/>
    <col min="11781" max="11781" width="9.28515625" style="143" customWidth="1"/>
    <col min="11782" max="11782" width="1.140625" style="143" customWidth="1"/>
    <col min="11783" max="11783" width="9.140625" style="143"/>
    <col min="11784" max="11784" width="9.5703125" style="143" customWidth="1"/>
    <col min="11785" max="11785" width="1.42578125" style="143" customWidth="1"/>
    <col min="11786" max="11786" width="13.7109375" style="143" customWidth="1"/>
    <col min="11787" max="11787" width="1.42578125" style="143" customWidth="1"/>
    <col min="11788" max="11788" width="17.42578125" style="143" customWidth="1"/>
    <col min="11789" max="11789" width="8.7109375" style="143" bestFit="1" customWidth="1"/>
    <col min="11790" max="11790" width="4.28515625" style="143" customWidth="1"/>
    <col min="11791" max="11791" width="3.5703125" style="143" customWidth="1"/>
    <col min="11792" max="11792" width="5.5703125" style="143" bestFit="1" customWidth="1"/>
    <col min="11793" max="11793" width="19.7109375" style="143" bestFit="1" customWidth="1"/>
    <col min="11794" max="11794" width="7.28515625" style="143" bestFit="1" customWidth="1"/>
    <col min="11795" max="11795" width="5.7109375" style="143" customWidth="1"/>
    <col min="11796" max="11796" width="5.42578125" style="143" customWidth="1"/>
    <col min="11797" max="12032" width="9.140625" style="143"/>
    <col min="12033" max="12033" width="29.7109375" style="143" customWidth="1"/>
    <col min="12034" max="12036" width="9.140625" style="143"/>
    <col min="12037" max="12037" width="9.28515625" style="143" customWidth="1"/>
    <col min="12038" max="12038" width="1.140625" style="143" customWidth="1"/>
    <col min="12039" max="12039" width="9.140625" style="143"/>
    <col min="12040" max="12040" width="9.5703125" style="143" customWidth="1"/>
    <col min="12041" max="12041" width="1.42578125" style="143" customWidth="1"/>
    <col min="12042" max="12042" width="13.7109375" style="143" customWidth="1"/>
    <col min="12043" max="12043" width="1.42578125" style="143" customWidth="1"/>
    <col min="12044" max="12044" width="17.42578125" style="143" customWidth="1"/>
    <col min="12045" max="12045" width="8.7109375" style="143" bestFit="1" customWidth="1"/>
    <col min="12046" max="12046" width="4.28515625" style="143" customWidth="1"/>
    <col min="12047" max="12047" width="3.5703125" style="143" customWidth="1"/>
    <col min="12048" max="12048" width="5.5703125" style="143" bestFit="1" customWidth="1"/>
    <col min="12049" max="12049" width="19.7109375" style="143" bestFit="1" customWidth="1"/>
    <col min="12050" max="12050" width="7.28515625" style="143" bestFit="1" customWidth="1"/>
    <col min="12051" max="12051" width="5.7109375" style="143" customWidth="1"/>
    <col min="12052" max="12052" width="5.42578125" style="143" customWidth="1"/>
    <col min="12053" max="12288" width="9.140625" style="143"/>
    <col min="12289" max="12289" width="29.7109375" style="143" customWidth="1"/>
    <col min="12290" max="12292" width="9.140625" style="143"/>
    <col min="12293" max="12293" width="9.28515625" style="143" customWidth="1"/>
    <col min="12294" max="12294" width="1.140625" style="143" customWidth="1"/>
    <col min="12295" max="12295" width="9.140625" style="143"/>
    <col min="12296" max="12296" width="9.5703125" style="143" customWidth="1"/>
    <col min="12297" max="12297" width="1.42578125" style="143" customWidth="1"/>
    <col min="12298" max="12298" width="13.7109375" style="143" customWidth="1"/>
    <col min="12299" max="12299" width="1.42578125" style="143" customWidth="1"/>
    <col min="12300" max="12300" width="17.42578125" style="143" customWidth="1"/>
    <col min="12301" max="12301" width="8.7109375" style="143" bestFit="1" customWidth="1"/>
    <col min="12302" max="12302" width="4.28515625" style="143" customWidth="1"/>
    <col min="12303" max="12303" width="3.5703125" style="143" customWidth="1"/>
    <col min="12304" max="12304" width="5.5703125" style="143" bestFit="1" customWidth="1"/>
    <col min="12305" max="12305" width="19.7109375" style="143" bestFit="1" customWidth="1"/>
    <col min="12306" max="12306" width="7.28515625" style="143" bestFit="1" customWidth="1"/>
    <col min="12307" max="12307" width="5.7109375" style="143" customWidth="1"/>
    <col min="12308" max="12308" width="5.42578125" style="143" customWidth="1"/>
    <col min="12309" max="12544" width="9.140625" style="143"/>
    <col min="12545" max="12545" width="29.7109375" style="143" customWidth="1"/>
    <col min="12546" max="12548" width="9.140625" style="143"/>
    <col min="12549" max="12549" width="9.28515625" style="143" customWidth="1"/>
    <col min="12550" max="12550" width="1.140625" style="143" customWidth="1"/>
    <col min="12551" max="12551" width="9.140625" style="143"/>
    <col min="12552" max="12552" width="9.5703125" style="143" customWidth="1"/>
    <col min="12553" max="12553" width="1.42578125" style="143" customWidth="1"/>
    <col min="12554" max="12554" width="13.7109375" style="143" customWidth="1"/>
    <col min="12555" max="12555" width="1.42578125" style="143" customWidth="1"/>
    <col min="12556" max="12556" width="17.42578125" style="143" customWidth="1"/>
    <col min="12557" max="12557" width="8.7109375" style="143" bestFit="1" customWidth="1"/>
    <col min="12558" max="12558" width="4.28515625" style="143" customWidth="1"/>
    <col min="12559" max="12559" width="3.5703125" style="143" customWidth="1"/>
    <col min="12560" max="12560" width="5.5703125" style="143" bestFit="1" customWidth="1"/>
    <col min="12561" max="12561" width="19.7109375" style="143" bestFit="1" customWidth="1"/>
    <col min="12562" max="12562" width="7.28515625" style="143" bestFit="1" customWidth="1"/>
    <col min="12563" max="12563" width="5.7109375" style="143" customWidth="1"/>
    <col min="12564" max="12564" width="5.42578125" style="143" customWidth="1"/>
    <col min="12565" max="12800" width="9.140625" style="143"/>
    <col min="12801" max="12801" width="29.7109375" style="143" customWidth="1"/>
    <col min="12802" max="12804" width="9.140625" style="143"/>
    <col min="12805" max="12805" width="9.28515625" style="143" customWidth="1"/>
    <col min="12806" max="12806" width="1.140625" style="143" customWidth="1"/>
    <col min="12807" max="12807" width="9.140625" style="143"/>
    <col min="12808" max="12808" width="9.5703125" style="143" customWidth="1"/>
    <col min="12809" max="12809" width="1.42578125" style="143" customWidth="1"/>
    <col min="12810" max="12810" width="13.7109375" style="143" customWidth="1"/>
    <col min="12811" max="12811" width="1.42578125" style="143" customWidth="1"/>
    <col min="12812" max="12812" width="17.42578125" style="143" customWidth="1"/>
    <col min="12813" max="12813" width="8.7109375" style="143" bestFit="1" customWidth="1"/>
    <col min="12814" max="12814" width="4.28515625" style="143" customWidth="1"/>
    <col min="12815" max="12815" width="3.5703125" style="143" customWidth="1"/>
    <col min="12816" max="12816" width="5.5703125" style="143" bestFit="1" customWidth="1"/>
    <col min="12817" max="12817" width="19.7109375" style="143" bestFit="1" customWidth="1"/>
    <col min="12818" max="12818" width="7.28515625" style="143" bestFit="1" customWidth="1"/>
    <col min="12819" max="12819" width="5.7109375" style="143" customWidth="1"/>
    <col min="12820" max="12820" width="5.42578125" style="143" customWidth="1"/>
    <col min="12821" max="13056" width="9.140625" style="143"/>
    <col min="13057" max="13057" width="29.7109375" style="143" customWidth="1"/>
    <col min="13058" max="13060" width="9.140625" style="143"/>
    <col min="13061" max="13061" width="9.28515625" style="143" customWidth="1"/>
    <col min="13062" max="13062" width="1.140625" style="143" customWidth="1"/>
    <col min="13063" max="13063" width="9.140625" style="143"/>
    <col min="13064" max="13064" width="9.5703125" style="143" customWidth="1"/>
    <col min="13065" max="13065" width="1.42578125" style="143" customWidth="1"/>
    <col min="13066" max="13066" width="13.7109375" style="143" customWidth="1"/>
    <col min="13067" max="13067" width="1.42578125" style="143" customWidth="1"/>
    <col min="13068" max="13068" width="17.42578125" style="143" customWidth="1"/>
    <col min="13069" max="13069" width="8.7109375" style="143" bestFit="1" customWidth="1"/>
    <col min="13070" max="13070" width="4.28515625" style="143" customWidth="1"/>
    <col min="13071" max="13071" width="3.5703125" style="143" customWidth="1"/>
    <col min="13072" max="13072" width="5.5703125" style="143" bestFit="1" customWidth="1"/>
    <col min="13073" max="13073" width="19.7109375" style="143" bestFit="1" customWidth="1"/>
    <col min="13074" max="13074" width="7.28515625" style="143" bestFit="1" customWidth="1"/>
    <col min="13075" max="13075" width="5.7109375" style="143" customWidth="1"/>
    <col min="13076" max="13076" width="5.42578125" style="143" customWidth="1"/>
    <col min="13077" max="13312" width="9.140625" style="143"/>
    <col min="13313" max="13313" width="29.7109375" style="143" customWidth="1"/>
    <col min="13314" max="13316" width="9.140625" style="143"/>
    <col min="13317" max="13317" width="9.28515625" style="143" customWidth="1"/>
    <col min="13318" max="13318" width="1.140625" style="143" customWidth="1"/>
    <col min="13319" max="13319" width="9.140625" style="143"/>
    <col min="13320" max="13320" width="9.5703125" style="143" customWidth="1"/>
    <col min="13321" max="13321" width="1.42578125" style="143" customWidth="1"/>
    <col min="13322" max="13322" width="13.7109375" style="143" customWidth="1"/>
    <col min="13323" max="13323" width="1.42578125" style="143" customWidth="1"/>
    <col min="13324" max="13324" width="17.42578125" style="143" customWidth="1"/>
    <col min="13325" max="13325" width="8.7109375" style="143" bestFit="1" customWidth="1"/>
    <col min="13326" max="13326" width="4.28515625" style="143" customWidth="1"/>
    <col min="13327" max="13327" width="3.5703125" style="143" customWidth="1"/>
    <col min="13328" max="13328" width="5.5703125" style="143" bestFit="1" customWidth="1"/>
    <col min="13329" max="13329" width="19.7109375" style="143" bestFit="1" customWidth="1"/>
    <col min="13330" max="13330" width="7.28515625" style="143" bestFit="1" customWidth="1"/>
    <col min="13331" max="13331" width="5.7109375" style="143" customWidth="1"/>
    <col min="13332" max="13332" width="5.42578125" style="143" customWidth="1"/>
    <col min="13333" max="13568" width="9.140625" style="143"/>
    <col min="13569" max="13569" width="29.7109375" style="143" customWidth="1"/>
    <col min="13570" max="13572" width="9.140625" style="143"/>
    <col min="13573" max="13573" width="9.28515625" style="143" customWidth="1"/>
    <col min="13574" max="13574" width="1.140625" style="143" customWidth="1"/>
    <col min="13575" max="13575" width="9.140625" style="143"/>
    <col min="13576" max="13576" width="9.5703125" style="143" customWidth="1"/>
    <col min="13577" max="13577" width="1.42578125" style="143" customWidth="1"/>
    <col min="13578" max="13578" width="13.7109375" style="143" customWidth="1"/>
    <col min="13579" max="13579" width="1.42578125" style="143" customWidth="1"/>
    <col min="13580" max="13580" width="17.42578125" style="143" customWidth="1"/>
    <col min="13581" max="13581" width="8.7109375" style="143" bestFit="1" customWidth="1"/>
    <col min="13582" max="13582" width="4.28515625" style="143" customWidth="1"/>
    <col min="13583" max="13583" width="3.5703125" style="143" customWidth="1"/>
    <col min="13584" max="13584" width="5.5703125" style="143" bestFit="1" customWidth="1"/>
    <col min="13585" max="13585" width="19.7109375" style="143" bestFit="1" customWidth="1"/>
    <col min="13586" max="13586" width="7.28515625" style="143" bestFit="1" customWidth="1"/>
    <col min="13587" max="13587" width="5.7109375" style="143" customWidth="1"/>
    <col min="13588" max="13588" width="5.42578125" style="143" customWidth="1"/>
    <col min="13589" max="13824" width="9.140625" style="143"/>
    <col min="13825" max="13825" width="29.7109375" style="143" customWidth="1"/>
    <col min="13826" max="13828" width="9.140625" style="143"/>
    <col min="13829" max="13829" width="9.28515625" style="143" customWidth="1"/>
    <col min="13830" max="13830" width="1.140625" style="143" customWidth="1"/>
    <col min="13831" max="13831" width="9.140625" style="143"/>
    <col min="13832" max="13832" width="9.5703125" style="143" customWidth="1"/>
    <col min="13833" max="13833" width="1.42578125" style="143" customWidth="1"/>
    <col min="13834" max="13834" width="13.7109375" style="143" customWidth="1"/>
    <col min="13835" max="13835" width="1.42578125" style="143" customWidth="1"/>
    <col min="13836" max="13836" width="17.42578125" style="143" customWidth="1"/>
    <col min="13837" max="13837" width="8.7109375" style="143" bestFit="1" customWidth="1"/>
    <col min="13838" max="13838" width="4.28515625" style="143" customWidth="1"/>
    <col min="13839" max="13839" width="3.5703125" style="143" customWidth="1"/>
    <col min="13840" max="13840" width="5.5703125" style="143" bestFit="1" customWidth="1"/>
    <col min="13841" max="13841" width="19.7109375" style="143" bestFit="1" customWidth="1"/>
    <col min="13842" max="13842" width="7.28515625" style="143" bestFit="1" customWidth="1"/>
    <col min="13843" max="13843" width="5.7109375" style="143" customWidth="1"/>
    <col min="13844" max="13844" width="5.42578125" style="143" customWidth="1"/>
    <col min="13845" max="14080" width="9.140625" style="143"/>
    <col min="14081" max="14081" width="29.7109375" style="143" customWidth="1"/>
    <col min="14082" max="14084" width="9.140625" style="143"/>
    <col min="14085" max="14085" width="9.28515625" style="143" customWidth="1"/>
    <col min="14086" max="14086" width="1.140625" style="143" customWidth="1"/>
    <col min="14087" max="14087" width="9.140625" style="143"/>
    <col min="14088" max="14088" width="9.5703125" style="143" customWidth="1"/>
    <col min="14089" max="14089" width="1.42578125" style="143" customWidth="1"/>
    <col min="14090" max="14090" width="13.7109375" style="143" customWidth="1"/>
    <col min="14091" max="14091" width="1.42578125" style="143" customWidth="1"/>
    <col min="14092" max="14092" width="17.42578125" style="143" customWidth="1"/>
    <col min="14093" max="14093" width="8.7109375" style="143" bestFit="1" customWidth="1"/>
    <col min="14094" max="14094" width="4.28515625" style="143" customWidth="1"/>
    <col min="14095" max="14095" width="3.5703125" style="143" customWidth="1"/>
    <col min="14096" max="14096" width="5.5703125" style="143" bestFit="1" customWidth="1"/>
    <col min="14097" max="14097" width="19.7109375" style="143" bestFit="1" customWidth="1"/>
    <col min="14098" max="14098" width="7.28515625" style="143" bestFit="1" customWidth="1"/>
    <col min="14099" max="14099" width="5.7109375" style="143" customWidth="1"/>
    <col min="14100" max="14100" width="5.42578125" style="143" customWidth="1"/>
    <col min="14101" max="14336" width="9.140625" style="143"/>
    <col min="14337" max="14337" width="29.7109375" style="143" customWidth="1"/>
    <col min="14338" max="14340" width="9.140625" style="143"/>
    <col min="14341" max="14341" width="9.28515625" style="143" customWidth="1"/>
    <col min="14342" max="14342" width="1.140625" style="143" customWidth="1"/>
    <col min="14343" max="14343" width="9.140625" style="143"/>
    <col min="14344" max="14344" width="9.5703125" style="143" customWidth="1"/>
    <col min="14345" max="14345" width="1.42578125" style="143" customWidth="1"/>
    <col min="14346" max="14346" width="13.7109375" style="143" customWidth="1"/>
    <col min="14347" max="14347" width="1.42578125" style="143" customWidth="1"/>
    <col min="14348" max="14348" width="17.42578125" style="143" customWidth="1"/>
    <col min="14349" max="14349" width="8.7109375" style="143" bestFit="1" customWidth="1"/>
    <col min="14350" max="14350" width="4.28515625" style="143" customWidth="1"/>
    <col min="14351" max="14351" width="3.5703125" style="143" customWidth="1"/>
    <col min="14352" max="14352" width="5.5703125" style="143" bestFit="1" customWidth="1"/>
    <col min="14353" max="14353" width="19.7109375" style="143" bestFit="1" customWidth="1"/>
    <col min="14354" max="14354" width="7.28515625" style="143" bestFit="1" customWidth="1"/>
    <col min="14355" max="14355" width="5.7109375" style="143" customWidth="1"/>
    <col min="14356" max="14356" width="5.42578125" style="143" customWidth="1"/>
    <col min="14357" max="14592" width="9.140625" style="143"/>
    <col min="14593" max="14593" width="29.7109375" style="143" customWidth="1"/>
    <col min="14594" max="14596" width="9.140625" style="143"/>
    <col min="14597" max="14597" width="9.28515625" style="143" customWidth="1"/>
    <col min="14598" max="14598" width="1.140625" style="143" customWidth="1"/>
    <col min="14599" max="14599" width="9.140625" style="143"/>
    <col min="14600" max="14600" width="9.5703125" style="143" customWidth="1"/>
    <col min="14601" max="14601" width="1.42578125" style="143" customWidth="1"/>
    <col min="14602" max="14602" width="13.7109375" style="143" customWidth="1"/>
    <col min="14603" max="14603" width="1.42578125" style="143" customWidth="1"/>
    <col min="14604" max="14604" width="17.42578125" style="143" customWidth="1"/>
    <col min="14605" max="14605" width="8.7109375" style="143" bestFit="1" customWidth="1"/>
    <col min="14606" max="14606" width="4.28515625" style="143" customWidth="1"/>
    <col min="14607" max="14607" width="3.5703125" style="143" customWidth="1"/>
    <col min="14608" max="14608" width="5.5703125" style="143" bestFit="1" customWidth="1"/>
    <col min="14609" max="14609" width="19.7109375" style="143" bestFit="1" customWidth="1"/>
    <col min="14610" max="14610" width="7.28515625" style="143" bestFit="1" customWidth="1"/>
    <col min="14611" max="14611" width="5.7109375" style="143" customWidth="1"/>
    <col min="14612" max="14612" width="5.42578125" style="143" customWidth="1"/>
    <col min="14613" max="14848" width="9.140625" style="143"/>
    <col min="14849" max="14849" width="29.7109375" style="143" customWidth="1"/>
    <col min="14850" max="14852" width="9.140625" style="143"/>
    <col min="14853" max="14853" width="9.28515625" style="143" customWidth="1"/>
    <col min="14854" max="14854" width="1.140625" style="143" customWidth="1"/>
    <col min="14855" max="14855" width="9.140625" style="143"/>
    <col min="14856" max="14856" width="9.5703125" style="143" customWidth="1"/>
    <col min="14857" max="14857" width="1.42578125" style="143" customWidth="1"/>
    <col min="14858" max="14858" width="13.7109375" style="143" customWidth="1"/>
    <col min="14859" max="14859" width="1.42578125" style="143" customWidth="1"/>
    <col min="14860" max="14860" width="17.42578125" style="143" customWidth="1"/>
    <col min="14861" max="14861" width="8.7109375" style="143" bestFit="1" customWidth="1"/>
    <col min="14862" max="14862" width="4.28515625" style="143" customWidth="1"/>
    <col min="14863" max="14863" width="3.5703125" style="143" customWidth="1"/>
    <col min="14864" max="14864" width="5.5703125" style="143" bestFit="1" customWidth="1"/>
    <col min="14865" max="14865" width="19.7109375" style="143" bestFit="1" customWidth="1"/>
    <col min="14866" max="14866" width="7.28515625" style="143" bestFit="1" customWidth="1"/>
    <col min="14867" max="14867" width="5.7109375" style="143" customWidth="1"/>
    <col min="14868" max="14868" width="5.42578125" style="143" customWidth="1"/>
    <col min="14869" max="15104" width="9.140625" style="143"/>
    <col min="15105" max="15105" width="29.7109375" style="143" customWidth="1"/>
    <col min="15106" max="15108" width="9.140625" style="143"/>
    <col min="15109" max="15109" width="9.28515625" style="143" customWidth="1"/>
    <col min="15110" max="15110" width="1.140625" style="143" customWidth="1"/>
    <col min="15111" max="15111" width="9.140625" style="143"/>
    <col min="15112" max="15112" width="9.5703125" style="143" customWidth="1"/>
    <col min="15113" max="15113" width="1.42578125" style="143" customWidth="1"/>
    <col min="15114" max="15114" width="13.7109375" style="143" customWidth="1"/>
    <col min="15115" max="15115" width="1.42578125" style="143" customWidth="1"/>
    <col min="15116" max="15116" width="17.42578125" style="143" customWidth="1"/>
    <col min="15117" max="15117" width="8.7109375" style="143" bestFit="1" customWidth="1"/>
    <col min="15118" max="15118" width="4.28515625" style="143" customWidth="1"/>
    <col min="15119" max="15119" width="3.5703125" style="143" customWidth="1"/>
    <col min="15120" max="15120" width="5.5703125" style="143" bestFit="1" customWidth="1"/>
    <col min="15121" max="15121" width="19.7109375" style="143" bestFit="1" customWidth="1"/>
    <col min="15122" max="15122" width="7.28515625" style="143" bestFit="1" customWidth="1"/>
    <col min="15123" max="15123" width="5.7109375" style="143" customWidth="1"/>
    <col min="15124" max="15124" width="5.42578125" style="143" customWidth="1"/>
    <col min="15125" max="15360" width="9.140625" style="143"/>
    <col min="15361" max="15361" width="29.7109375" style="143" customWidth="1"/>
    <col min="15362" max="15364" width="9.140625" style="143"/>
    <col min="15365" max="15365" width="9.28515625" style="143" customWidth="1"/>
    <col min="15366" max="15366" width="1.140625" style="143" customWidth="1"/>
    <col min="15367" max="15367" width="9.140625" style="143"/>
    <col min="15368" max="15368" width="9.5703125" style="143" customWidth="1"/>
    <col min="15369" max="15369" width="1.42578125" style="143" customWidth="1"/>
    <col min="15370" max="15370" width="13.7109375" style="143" customWidth="1"/>
    <col min="15371" max="15371" width="1.42578125" style="143" customWidth="1"/>
    <col min="15372" max="15372" width="17.42578125" style="143" customWidth="1"/>
    <col min="15373" max="15373" width="8.7109375" style="143" bestFit="1" customWidth="1"/>
    <col min="15374" max="15374" width="4.28515625" style="143" customWidth="1"/>
    <col min="15375" max="15375" width="3.5703125" style="143" customWidth="1"/>
    <col min="15376" max="15376" width="5.5703125" style="143" bestFit="1" customWidth="1"/>
    <col min="15377" max="15377" width="19.7109375" style="143" bestFit="1" customWidth="1"/>
    <col min="15378" max="15378" width="7.28515625" style="143" bestFit="1" customWidth="1"/>
    <col min="15379" max="15379" width="5.7109375" style="143" customWidth="1"/>
    <col min="15380" max="15380" width="5.42578125" style="143" customWidth="1"/>
    <col min="15381" max="15616" width="9.140625" style="143"/>
    <col min="15617" max="15617" width="29.7109375" style="143" customWidth="1"/>
    <col min="15618" max="15620" width="9.140625" style="143"/>
    <col min="15621" max="15621" width="9.28515625" style="143" customWidth="1"/>
    <col min="15622" max="15622" width="1.140625" style="143" customWidth="1"/>
    <col min="15623" max="15623" width="9.140625" style="143"/>
    <col min="15624" max="15624" width="9.5703125" style="143" customWidth="1"/>
    <col min="15625" max="15625" width="1.42578125" style="143" customWidth="1"/>
    <col min="15626" max="15626" width="13.7109375" style="143" customWidth="1"/>
    <col min="15627" max="15627" width="1.42578125" style="143" customWidth="1"/>
    <col min="15628" max="15628" width="17.42578125" style="143" customWidth="1"/>
    <col min="15629" max="15629" width="8.7109375" style="143" bestFit="1" customWidth="1"/>
    <col min="15630" max="15630" width="4.28515625" style="143" customWidth="1"/>
    <col min="15631" max="15631" width="3.5703125" style="143" customWidth="1"/>
    <col min="15632" max="15632" width="5.5703125" style="143" bestFit="1" customWidth="1"/>
    <col min="15633" max="15633" width="19.7109375" style="143" bestFit="1" customWidth="1"/>
    <col min="15634" max="15634" width="7.28515625" style="143" bestFit="1" customWidth="1"/>
    <col min="15635" max="15635" width="5.7109375" style="143" customWidth="1"/>
    <col min="15636" max="15636" width="5.42578125" style="143" customWidth="1"/>
    <col min="15637" max="15872" width="9.140625" style="143"/>
    <col min="15873" max="15873" width="29.7109375" style="143" customWidth="1"/>
    <col min="15874" max="15876" width="9.140625" style="143"/>
    <col min="15877" max="15877" width="9.28515625" style="143" customWidth="1"/>
    <col min="15878" max="15878" width="1.140625" style="143" customWidth="1"/>
    <col min="15879" max="15879" width="9.140625" style="143"/>
    <col min="15880" max="15880" width="9.5703125" style="143" customWidth="1"/>
    <col min="15881" max="15881" width="1.42578125" style="143" customWidth="1"/>
    <col min="15882" max="15882" width="13.7109375" style="143" customWidth="1"/>
    <col min="15883" max="15883" width="1.42578125" style="143" customWidth="1"/>
    <col min="15884" max="15884" width="17.42578125" style="143" customWidth="1"/>
    <col min="15885" max="15885" width="8.7109375" style="143" bestFit="1" customWidth="1"/>
    <col min="15886" max="15886" width="4.28515625" style="143" customWidth="1"/>
    <col min="15887" max="15887" width="3.5703125" style="143" customWidth="1"/>
    <col min="15888" max="15888" width="5.5703125" style="143" bestFit="1" customWidth="1"/>
    <col min="15889" max="15889" width="19.7109375" style="143" bestFit="1" customWidth="1"/>
    <col min="15890" max="15890" width="7.28515625" style="143" bestFit="1" customWidth="1"/>
    <col min="15891" max="15891" width="5.7109375" style="143" customWidth="1"/>
    <col min="15892" max="15892" width="5.42578125" style="143" customWidth="1"/>
    <col min="15893" max="16128" width="9.140625" style="143"/>
    <col min="16129" max="16129" width="29.7109375" style="143" customWidth="1"/>
    <col min="16130" max="16132" width="9.140625" style="143"/>
    <col min="16133" max="16133" width="9.28515625" style="143" customWidth="1"/>
    <col min="16134" max="16134" width="1.140625" style="143" customWidth="1"/>
    <col min="16135" max="16135" width="9.140625" style="143"/>
    <col min="16136" max="16136" width="9.5703125" style="143" customWidth="1"/>
    <col min="16137" max="16137" width="1.42578125" style="143" customWidth="1"/>
    <col min="16138" max="16138" width="13.7109375" style="143" customWidth="1"/>
    <col min="16139" max="16139" width="1.42578125" style="143" customWidth="1"/>
    <col min="16140" max="16140" width="17.42578125" style="143" customWidth="1"/>
    <col min="16141" max="16141" width="8.7109375" style="143" bestFit="1" customWidth="1"/>
    <col min="16142" max="16142" width="4.28515625" style="143" customWidth="1"/>
    <col min="16143" max="16143" width="3.5703125" style="143" customWidth="1"/>
    <col min="16144" max="16144" width="5.5703125" style="143" bestFit="1" customWidth="1"/>
    <col min="16145" max="16145" width="19.7109375" style="143" bestFit="1" customWidth="1"/>
    <col min="16146" max="16146" width="7.28515625" style="143" bestFit="1" customWidth="1"/>
    <col min="16147" max="16147" width="5.7109375" style="143" customWidth="1"/>
    <col min="16148" max="16148" width="5.42578125" style="143" customWidth="1"/>
    <col min="16149" max="16384" width="9.140625" style="143"/>
  </cols>
  <sheetData>
    <row r="1" spans="1:22" x14ac:dyDescent="0.2">
      <c r="A1" s="136" t="s">
        <v>109</v>
      </c>
      <c r="B1" s="137"/>
      <c r="C1" s="138"/>
      <c r="D1" s="138" t="s">
        <v>110</v>
      </c>
      <c r="E1" s="138"/>
      <c r="F1" s="138"/>
      <c r="G1" s="139"/>
      <c r="H1" s="138"/>
      <c r="I1" s="138"/>
      <c r="J1" s="140"/>
      <c r="K1" s="141"/>
      <c r="L1" s="142" t="s">
        <v>111</v>
      </c>
      <c r="M1" s="142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5" x14ac:dyDescent="0.25">
      <c r="A2" s="136"/>
      <c r="B2" s="137" t="s">
        <v>112</v>
      </c>
      <c r="C2" s="138"/>
      <c r="D2" s="138"/>
      <c r="E2" s="144"/>
      <c r="F2" s="145"/>
      <c r="G2" s="137" t="s">
        <v>113</v>
      </c>
      <c r="H2" s="138"/>
      <c r="I2" s="146"/>
      <c r="J2" s="147" t="s">
        <v>114</v>
      </c>
      <c r="K2" s="141"/>
      <c r="L2"/>
      <c r="M2"/>
      <c r="N2"/>
      <c r="O2"/>
      <c r="P2"/>
      <c r="Q2"/>
      <c r="R2"/>
      <c r="S2"/>
      <c r="T2"/>
      <c r="U2"/>
      <c r="V2"/>
    </row>
    <row r="3" spans="1:22" ht="15" x14ac:dyDescent="0.25">
      <c r="A3" s="141"/>
      <c r="B3" s="148" t="s">
        <v>115</v>
      </c>
      <c r="C3" s="148"/>
      <c r="D3" s="148"/>
      <c r="E3" s="148"/>
      <c r="F3" s="145"/>
      <c r="G3" s="137" t="s">
        <v>116</v>
      </c>
      <c r="H3" s="138"/>
      <c r="I3" s="146"/>
      <c r="J3" s="140"/>
      <c r="K3" s="141"/>
      <c r="L3"/>
      <c r="M3"/>
      <c r="N3"/>
      <c r="O3"/>
      <c r="P3"/>
      <c r="Q3"/>
      <c r="R3"/>
      <c r="S3"/>
      <c r="T3"/>
      <c r="U3"/>
      <c r="V3"/>
    </row>
    <row r="4" spans="1:22" ht="15" x14ac:dyDescent="0.25">
      <c r="A4" s="141"/>
      <c r="B4" s="149" t="s">
        <v>117</v>
      </c>
      <c r="C4" s="149" t="s">
        <v>118</v>
      </c>
      <c r="D4" s="149" t="s">
        <v>119</v>
      </c>
      <c r="E4" s="149" t="s">
        <v>120</v>
      </c>
      <c r="F4" s="149"/>
      <c r="G4" s="149" t="s">
        <v>117</v>
      </c>
      <c r="H4" s="149" t="s">
        <v>118</v>
      </c>
      <c r="I4" s="149"/>
      <c r="J4" s="149" t="s">
        <v>121</v>
      </c>
      <c r="K4" s="141"/>
      <c r="L4"/>
      <c r="M4"/>
      <c r="N4"/>
      <c r="O4"/>
      <c r="P4"/>
      <c r="Q4"/>
      <c r="R4"/>
      <c r="S4"/>
      <c r="T4"/>
      <c r="U4"/>
      <c r="V4"/>
    </row>
    <row r="5" spans="1:22" ht="15" x14ac:dyDescent="0.25">
      <c r="A5" s="150" t="s">
        <v>122</v>
      </c>
      <c r="B5" s="151">
        <v>17</v>
      </c>
      <c r="C5" s="151">
        <f t="shared" ref="C5:E6" si="0">B5+1</f>
        <v>18</v>
      </c>
      <c r="D5" s="151">
        <f t="shared" si="0"/>
        <v>19</v>
      </c>
      <c r="E5" s="151">
        <f t="shared" si="0"/>
        <v>20</v>
      </c>
      <c r="F5" s="151"/>
      <c r="G5" s="151">
        <f>E5+1</f>
        <v>21</v>
      </c>
      <c r="H5" s="151">
        <f>G5+1</f>
        <v>22</v>
      </c>
      <c r="I5" s="151"/>
      <c r="J5" s="151">
        <v>26</v>
      </c>
      <c r="K5" s="141">
        <v>3</v>
      </c>
      <c r="L5"/>
      <c r="M5"/>
      <c r="N5"/>
      <c r="O5"/>
      <c r="P5"/>
      <c r="Q5"/>
      <c r="R5"/>
      <c r="S5"/>
      <c r="T5"/>
      <c r="U5"/>
      <c r="V5"/>
    </row>
    <row r="6" spans="1:22" ht="15" x14ac:dyDescent="0.25">
      <c r="A6" s="152" t="s">
        <v>123</v>
      </c>
      <c r="B6" s="153">
        <v>6</v>
      </c>
      <c r="C6" s="156">
        <f t="shared" si="0"/>
        <v>7</v>
      </c>
      <c r="D6" s="156">
        <f t="shared" si="0"/>
        <v>8</v>
      </c>
      <c r="E6" s="156">
        <f t="shared" si="0"/>
        <v>9</v>
      </c>
      <c r="F6" s="154"/>
      <c r="G6" s="153">
        <v>11</v>
      </c>
      <c r="H6" s="156">
        <f>G6+1</f>
        <v>12</v>
      </c>
      <c r="I6" s="154"/>
      <c r="J6" s="153">
        <f>J5-B5+B6</f>
        <v>15</v>
      </c>
      <c r="K6" s="141"/>
      <c r="L6"/>
      <c r="M6"/>
      <c r="N6"/>
      <c r="O6"/>
      <c r="P6"/>
      <c r="Q6"/>
      <c r="R6"/>
      <c r="S6"/>
      <c r="T6"/>
      <c r="U6"/>
      <c r="V6"/>
    </row>
    <row r="7" spans="1:22" ht="15" x14ac:dyDescent="0.25">
      <c r="A7" s="152" t="s">
        <v>124</v>
      </c>
      <c r="B7" s="155"/>
      <c r="C7" s="155"/>
      <c r="D7" s="155"/>
      <c r="E7" s="155"/>
      <c r="F7" s="154"/>
      <c r="G7" s="155"/>
      <c r="H7" s="155"/>
      <c r="I7" s="154"/>
      <c r="J7" s="155"/>
      <c r="K7" s="141"/>
      <c r="L7"/>
      <c r="M7"/>
      <c r="N7"/>
      <c r="O7"/>
      <c r="P7"/>
      <c r="Q7"/>
      <c r="R7"/>
      <c r="S7"/>
      <c r="T7"/>
      <c r="U7"/>
      <c r="V7"/>
    </row>
    <row r="8" spans="1:22" ht="15" x14ac:dyDescent="0.25">
      <c r="A8" s="152" t="s">
        <v>125</v>
      </c>
      <c r="B8" s="153">
        <v>3</v>
      </c>
      <c r="C8" s="153">
        <v>3</v>
      </c>
      <c r="D8" s="153">
        <v>3</v>
      </c>
      <c r="E8" s="153">
        <v>3</v>
      </c>
      <c r="F8" s="154"/>
      <c r="G8" s="153">
        <v>3</v>
      </c>
      <c r="H8" s="153">
        <v>3</v>
      </c>
      <c r="I8" s="154"/>
      <c r="J8" s="153">
        <v>3</v>
      </c>
      <c r="K8" s="141"/>
      <c r="L8"/>
      <c r="M8"/>
      <c r="N8"/>
      <c r="O8"/>
      <c r="P8"/>
      <c r="Q8"/>
      <c r="R8"/>
      <c r="S8"/>
      <c r="T8"/>
      <c r="U8"/>
      <c r="V8"/>
    </row>
    <row r="9" spans="1:22" ht="15" x14ac:dyDescent="0.25">
      <c r="A9" s="152" t="s">
        <v>126</v>
      </c>
      <c r="B9" s="156">
        <f t="shared" ref="B9:J9" si="1">B6-B8</f>
        <v>3</v>
      </c>
      <c r="C9" s="156">
        <f t="shared" si="1"/>
        <v>4</v>
      </c>
      <c r="D9" s="156">
        <f t="shared" si="1"/>
        <v>5</v>
      </c>
      <c r="E9" s="156">
        <f t="shared" si="1"/>
        <v>6</v>
      </c>
      <c r="F9" s="154"/>
      <c r="G9" s="156">
        <f t="shared" si="1"/>
        <v>8</v>
      </c>
      <c r="H9" s="156">
        <f t="shared" si="1"/>
        <v>9</v>
      </c>
      <c r="I9" s="154"/>
      <c r="J9" s="156">
        <f t="shared" si="1"/>
        <v>12</v>
      </c>
      <c r="K9" s="141"/>
      <c r="L9"/>
      <c r="M9"/>
      <c r="N9"/>
      <c r="O9"/>
      <c r="P9"/>
      <c r="Q9"/>
      <c r="R9"/>
      <c r="S9"/>
      <c r="T9"/>
      <c r="U9"/>
      <c r="V9"/>
    </row>
    <row r="10" spans="1:22" ht="15" x14ac:dyDescent="0.25">
      <c r="A10" s="152" t="s">
        <v>127</v>
      </c>
      <c r="B10" s="157">
        <v>1000000</v>
      </c>
      <c r="C10" s="157">
        <v>600000</v>
      </c>
      <c r="D10" s="157">
        <v>600000</v>
      </c>
      <c r="E10" s="157">
        <v>600000</v>
      </c>
      <c r="F10" s="158"/>
      <c r="G10" s="157">
        <v>1500000</v>
      </c>
      <c r="H10" s="157">
        <v>1000000</v>
      </c>
      <c r="I10" s="158"/>
      <c r="J10" s="157">
        <v>2000000</v>
      </c>
      <c r="K10" s="141"/>
      <c r="L10"/>
      <c r="M10"/>
      <c r="N10"/>
      <c r="O10"/>
      <c r="P10"/>
      <c r="Q10"/>
      <c r="R10"/>
      <c r="S10"/>
      <c r="T10"/>
      <c r="U10"/>
      <c r="V10"/>
    </row>
    <row r="11" spans="1:22" ht="15" x14ac:dyDescent="0.25">
      <c r="A11" s="152" t="s">
        <v>128</v>
      </c>
      <c r="B11" s="159">
        <v>0.1</v>
      </c>
      <c r="C11" s="159">
        <v>0.1</v>
      </c>
      <c r="D11" s="159">
        <v>0.1</v>
      </c>
      <c r="E11" s="159">
        <v>0.1</v>
      </c>
      <c r="F11" s="160"/>
      <c r="G11" s="159">
        <v>0.1</v>
      </c>
      <c r="H11" s="159">
        <v>0.1</v>
      </c>
      <c r="I11" s="160"/>
      <c r="J11" s="159">
        <v>0.05</v>
      </c>
      <c r="K11" s="141"/>
      <c r="L11"/>
      <c r="M11"/>
      <c r="N11"/>
      <c r="O11"/>
      <c r="P11"/>
      <c r="Q11"/>
      <c r="R11"/>
      <c r="S11"/>
      <c r="T11"/>
      <c r="U11"/>
      <c r="V11"/>
    </row>
    <row r="12" spans="1:22" ht="15" x14ac:dyDescent="0.25">
      <c r="A12" s="152" t="s">
        <v>129</v>
      </c>
      <c r="B12" s="161"/>
      <c r="C12" s="161"/>
      <c r="D12" s="161"/>
      <c r="E12" s="161"/>
      <c r="F12" s="162"/>
      <c r="G12" s="161"/>
      <c r="H12" s="161"/>
      <c r="I12" s="162"/>
      <c r="J12" s="161"/>
      <c r="K12" s="141"/>
      <c r="L12"/>
      <c r="M12"/>
      <c r="N12"/>
      <c r="O12"/>
      <c r="P12"/>
      <c r="Q12"/>
      <c r="R12"/>
      <c r="S12"/>
      <c r="T12"/>
      <c r="U12"/>
      <c r="V12"/>
    </row>
    <row r="13" spans="1:22" ht="15" x14ac:dyDescent="0.25">
      <c r="A13" s="152" t="s">
        <v>182</v>
      </c>
      <c r="B13" s="163">
        <f>B10*(1+B11)^B6</f>
        <v>1771561.0000000009</v>
      </c>
      <c r="C13" s="163">
        <f>C10*(1+C11)^C6</f>
        <v>1169230.2600000007</v>
      </c>
      <c r="D13" s="163">
        <f>D10*(1+D11)^D6</f>
        <v>1286153.2860000008</v>
      </c>
      <c r="E13" s="163">
        <f>E10*(1+E11)^E6</f>
        <v>1414768.6146000009</v>
      </c>
      <c r="F13" s="158"/>
      <c r="G13" s="163">
        <f>G10*(1+G11)^G6</f>
        <v>4279675.0591650037</v>
      </c>
      <c r="H13" s="163">
        <f>H10*(1+H11)^H6</f>
        <v>3138428.3767210026</v>
      </c>
      <c r="I13" s="158"/>
      <c r="J13" s="163">
        <f>J10*(1+J11)^J6</f>
        <v>4157856.358822736</v>
      </c>
      <c r="K13" s="141"/>
      <c r="L13"/>
      <c r="M13"/>
      <c r="N13"/>
      <c r="O13"/>
      <c r="P13"/>
      <c r="Q13"/>
      <c r="R13"/>
      <c r="S13"/>
      <c r="T13"/>
      <c r="U13"/>
      <c r="V13"/>
    </row>
    <row r="14" spans="1:22" x14ac:dyDescent="0.2">
      <c r="A14" s="251" t="s">
        <v>131</v>
      </c>
      <c r="B14" s="252"/>
      <c r="C14" s="252"/>
      <c r="D14" s="252"/>
      <c r="E14" s="252"/>
      <c r="F14" s="253"/>
      <c r="G14" s="252"/>
      <c r="H14" s="252"/>
      <c r="I14" s="253"/>
      <c r="J14" s="252"/>
      <c r="K14" s="141"/>
      <c r="L14" s="143" t="s">
        <v>169</v>
      </c>
    </row>
    <row r="15" spans="1:22" x14ac:dyDescent="0.2">
      <c r="A15" s="251" t="s">
        <v>132</v>
      </c>
      <c r="B15" s="254">
        <v>7.0000000000000007E-2</v>
      </c>
      <c r="C15" s="254">
        <v>7.0000000000000007E-2</v>
      </c>
      <c r="D15" s="254">
        <v>0.1</v>
      </c>
      <c r="E15" s="254">
        <v>0.1</v>
      </c>
      <c r="F15" s="255"/>
      <c r="G15" s="254">
        <v>0.12</v>
      </c>
      <c r="H15" s="254">
        <v>0.12</v>
      </c>
      <c r="I15" s="255"/>
      <c r="J15" s="254">
        <v>0.13</v>
      </c>
      <c r="K15" s="141"/>
      <c r="T15" s="164"/>
    </row>
    <row r="16" spans="1:22" x14ac:dyDescent="0.2">
      <c r="A16" s="251" t="s">
        <v>133</v>
      </c>
      <c r="B16" s="256">
        <f t="shared" ref="B16:H16" si="2">B14*(1+B15)^B9</f>
        <v>0</v>
      </c>
      <c r="C16" s="256">
        <f t="shared" si="2"/>
        <v>0</v>
      </c>
      <c r="D16" s="256">
        <f t="shared" si="2"/>
        <v>0</v>
      </c>
      <c r="E16" s="256">
        <f t="shared" si="2"/>
        <v>0</v>
      </c>
      <c r="F16" s="253"/>
      <c r="G16" s="256">
        <f t="shared" si="2"/>
        <v>0</v>
      </c>
      <c r="H16" s="256">
        <f t="shared" si="2"/>
        <v>0</v>
      </c>
      <c r="I16" s="253"/>
      <c r="J16" s="256">
        <f>J14*(1+J15)^J9</f>
        <v>0</v>
      </c>
      <c r="K16" s="141"/>
      <c r="T16" s="164"/>
    </row>
    <row r="17" spans="1:20" x14ac:dyDescent="0.2">
      <c r="A17" s="251" t="s">
        <v>134</v>
      </c>
      <c r="B17" s="254">
        <v>0</v>
      </c>
      <c r="C17" s="257">
        <f>gdg</f>
        <v>0</v>
      </c>
      <c r="D17" s="257">
        <f>gdg</f>
        <v>0</v>
      </c>
      <c r="E17" s="257">
        <f>gdg</f>
        <v>0</v>
      </c>
      <c r="F17" s="255"/>
      <c r="G17" s="257">
        <f>gdg</f>
        <v>0</v>
      </c>
      <c r="H17" s="257">
        <f>gdg</f>
        <v>0</v>
      </c>
      <c r="I17" s="255"/>
      <c r="J17" s="254">
        <v>0</v>
      </c>
      <c r="K17" s="141"/>
      <c r="T17" s="164"/>
    </row>
    <row r="18" spans="1:20" x14ac:dyDescent="0.2">
      <c r="A18" s="251" t="s">
        <v>135</v>
      </c>
      <c r="B18" s="258">
        <f t="shared" ref="B18:H18" si="3">IF(B12=B17,(B13-B16)/(12*B9*(1+B12)^B9),(B13-B16)*(B12-B17)/(12*(1+B12)*((1+B12)^(B9)-(1+B17)^(B9))))</f>
        <v>49210.027777777803</v>
      </c>
      <c r="C18" s="258">
        <f t="shared" si="3"/>
        <v>24358.963750000014</v>
      </c>
      <c r="D18" s="258">
        <f t="shared" si="3"/>
        <v>21435.888100000015</v>
      </c>
      <c r="E18" s="258">
        <f t="shared" si="3"/>
        <v>19649.564091666678</v>
      </c>
      <c r="F18" s="253"/>
      <c r="G18" s="258">
        <f t="shared" si="3"/>
        <v>44579.948532968789</v>
      </c>
      <c r="H18" s="258">
        <f t="shared" si="3"/>
        <v>29059.52200667595</v>
      </c>
      <c r="I18" s="253"/>
      <c r="J18" s="259">
        <f>IF(J12=J17,(J13-J16)/(12*J9*(1+J12)^J9),(J13-J16)*(J12-J17)/(12*(1+J12)*((1+J12)^(J9)-(1+J17)^(J9))))</f>
        <v>28874.002491824554</v>
      </c>
      <c r="K18" s="141"/>
      <c r="T18" s="164"/>
    </row>
    <row r="19" spans="1:20" x14ac:dyDescent="0.2">
      <c r="A19" s="251" t="s">
        <v>136</v>
      </c>
      <c r="B19" s="252"/>
      <c r="C19" s="256" t="str">
        <f>IF(B19=0,"",B19)</f>
        <v/>
      </c>
      <c r="D19" s="256" t="str">
        <f>IF(B19=0,"",B19)</f>
        <v/>
      </c>
      <c r="E19" s="256" t="str">
        <f>IF(B19=0,"",B19)</f>
        <v/>
      </c>
      <c r="F19" s="253"/>
      <c r="G19" s="256" t="str">
        <f>IF(B19=0,"",B19)</f>
        <v/>
      </c>
      <c r="H19" s="256" t="str">
        <f>IF(B19=0,"",B19)</f>
        <v/>
      </c>
      <c r="I19" s="253"/>
      <c r="J19" s="260"/>
      <c r="K19" s="141"/>
      <c r="T19" s="164"/>
    </row>
    <row r="20" spans="1:20" x14ac:dyDescent="0.2">
      <c r="A20" s="251" t="s">
        <v>137</v>
      </c>
      <c r="B20" s="261">
        <f>IF(B12=B17,(B13-B16)/(12*(B9-B19)*(1+B12)^(B9-B19)),(B13-B16)*(B12-B17)/(12*(1+B12)*((1+B12)^(B9-B19)-(1+B17)^(B9-B19))))</f>
        <v>49210.027777777803</v>
      </c>
      <c r="C20" s="261">
        <f>IF(C19="",C18,IF(C12=C17,(C13-C16)/(12*(C9-C19)*(1+C12)^(C9-C19)),(C13-C16)*(C12-C17)/(12*(1+C12)*((1+C12)^(C9-C19)-(1+C17)^(C9-C19)))))</f>
        <v>24358.963750000014</v>
      </c>
      <c r="D20" s="261">
        <f>IF(D19="",D18,IF(D12=D17,(D13-D16)/(12*(D9-D19)*(1+D12)^(D9-D19)),(D13-D16)*(D12-D17)/(12*(1+D12)*((1+D12)^(D9-D19)-(1+D17)^(D9-D19)))))</f>
        <v>21435.888100000015</v>
      </c>
      <c r="E20" s="261">
        <f>IF(E19="",E18,IF(E12=E17,(E13-E16)/(12*(E9-E19)*(1+E12)^(E9-E19)),(E13-E16)*(E12-E17)/(12*(1+E12)*((1+E12)^(E9-E19)-(1+E17)^(E9-E19)))))</f>
        <v>19649.564091666678</v>
      </c>
      <c r="F20" s="253"/>
      <c r="G20" s="261">
        <f>IF(G19="",G18,IF(G12=G17,(G13-G16)/(12*(G9-G19)*(1+G12)^(G9-G19)),(G13-G16)*(G12-G17)/(12*(1+G12)*((1+G12)^(G9-G19)-(1+G17)^(G9-G19)))))</f>
        <v>44579.948532968789</v>
      </c>
      <c r="H20" s="261">
        <f>IF(H19="",H18,IF(H12=H17,(H13-H16)/(12*(H9-H19)*(1+H12)^(H9-H19)),(H13-H16)*(H12-H17)/(12*(1+H12)*((1+H12)^(H9-H19)-(1+H17)^(H9-H19)))))</f>
        <v>29059.52200667595</v>
      </c>
      <c r="I20" s="253"/>
      <c r="J20" s="261">
        <f>IF(J19="",J18,IF(J12=J17,(J13-J16)/(12*(J9-J19)*(1+J12)^(J9-J19)),(J13-J16)*(J12-J17)/(12*(1+J12)*((1+J12)^(J9-J19)-(1+J17)^(J9-J19)))))</f>
        <v>28874.002491824554</v>
      </c>
      <c r="K20" s="141"/>
      <c r="S20" s="165"/>
      <c r="T20" s="166"/>
    </row>
    <row r="21" spans="1:20" x14ac:dyDescent="0.2">
      <c r="A21" s="167"/>
      <c r="B21" s="149" t="s">
        <v>117</v>
      </c>
      <c r="C21" s="149" t="s">
        <v>118</v>
      </c>
      <c r="D21" s="149" t="s">
        <v>119</v>
      </c>
      <c r="E21" s="149" t="s">
        <v>120</v>
      </c>
      <c r="F21" s="149"/>
      <c r="G21" s="149" t="s">
        <v>117</v>
      </c>
      <c r="H21" s="149" t="s">
        <v>118</v>
      </c>
      <c r="I21" s="149"/>
      <c r="J21" s="149" t="s">
        <v>114</v>
      </c>
      <c r="K21" s="141"/>
      <c r="S21" s="168"/>
      <c r="T21" s="166"/>
    </row>
    <row r="22" spans="1:20" x14ac:dyDescent="0.2">
      <c r="K22" s="141"/>
      <c r="S22" s="165"/>
      <c r="T22" s="166"/>
    </row>
    <row r="23" spans="1:20" x14ac:dyDescent="0.2">
      <c r="A23" s="136" t="s">
        <v>138</v>
      </c>
      <c r="B23" s="137"/>
      <c r="C23" s="138"/>
      <c r="D23" s="138" t="s">
        <v>139</v>
      </c>
      <c r="E23" s="138"/>
      <c r="F23" s="138"/>
      <c r="G23" s="139"/>
      <c r="H23" s="138"/>
      <c r="I23" s="138"/>
      <c r="J23" s="140"/>
      <c r="K23" s="141"/>
      <c r="S23" s="169"/>
    </row>
    <row r="24" spans="1:20" x14ac:dyDescent="0.2">
      <c r="A24" s="136"/>
      <c r="B24" s="137" t="s">
        <v>112</v>
      </c>
      <c r="C24" s="138"/>
      <c r="D24" s="138"/>
      <c r="E24" s="144"/>
      <c r="F24" s="145"/>
      <c r="G24" s="137" t="s">
        <v>113</v>
      </c>
      <c r="H24" s="138"/>
      <c r="I24" s="146"/>
      <c r="J24" s="147" t="s">
        <v>114</v>
      </c>
      <c r="K24" s="141"/>
    </row>
    <row r="25" spans="1:20" x14ac:dyDescent="0.2">
      <c r="A25" s="141"/>
      <c r="B25" s="148" t="s">
        <v>115</v>
      </c>
      <c r="C25" s="148"/>
      <c r="D25" s="148"/>
      <c r="E25" s="148"/>
      <c r="F25" s="145"/>
      <c r="G25" s="137" t="s">
        <v>116</v>
      </c>
      <c r="H25" s="138"/>
      <c r="I25" s="146"/>
      <c r="J25" s="140"/>
      <c r="K25" s="141"/>
    </row>
    <row r="26" spans="1:20" x14ac:dyDescent="0.2">
      <c r="A26" s="141"/>
      <c r="B26" s="149" t="s">
        <v>117</v>
      </c>
      <c r="C26" s="149" t="s">
        <v>118</v>
      </c>
      <c r="D26" s="149" t="s">
        <v>119</v>
      </c>
      <c r="E26" s="149" t="s">
        <v>120</v>
      </c>
      <c r="F26" s="149"/>
      <c r="G26" s="149" t="s">
        <v>117</v>
      </c>
      <c r="H26" s="149" t="s">
        <v>118</v>
      </c>
      <c r="I26" s="149"/>
      <c r="J26" s="149" t="s">
        <v>121</v>
      </c>
      <c r="K26" s="141"/>
    </row>
    <row r="27" spans="1:20" x14ac:dyDescent="0.2">
      <c r="A27" s="150" t="s">
        <v>122</v>
      </c>
      <c r="B27" s="151">
        <v>18</v>
      </c>
      <c r="C27" s="151">
        <f t="shared" ref="C27:E28" si="4">B27+1</f>
        <v>19</v>
      </c>
      <c r="D27" s="151">
        <f t="shared" si="4"/>
        <v>20</v>
      </c>
      <c r="E27" s="151">
        <f t="shared" si="4"/>
        <v>21</v>
      </c>
      <c r="F27" s="151"/>
      <c r="G27" s="151">
        <f>E27+1</f>
        <v>22</v>
      </c>
      <c r="H27" s="151">
        <f>G27+1</f>
        <v>23</v>
      </c>
      <c r="I27" s="151"/>
      <c r="J27" s="151">
        <v>28</v>
      </c>
      <c r="K27" s="141"/>
    </row>
    <row r="28" spans="1:20" x14ac:dyDescent="0.2">
      <c r="A28" s="152" t="s">
        <v>123</v>
      </c>
      <c r="B28" s="153">
        <v>9</v>
      </c>
      <c r="C28" s="156">
        <f t="shared" si="4"/>
        <v>10</v>
      </c>
      <c r="D28" s="156">
        <f t="shared" si="4"/>
        <v>11</v>
      </c>
      <c r="E28" s="156">
        <f t="shared" si="4"/>
        <v>12</v>
      </c>
      <c r="F28" s="154"/>
      <c r="G28" s="153">
        <v>14</v>
      </c>
      <c r="H28" s="156">
        <f>G28+1</f>
        <v>15</v>
      </c>
      <c r="I28" s="154"/>
      <c r="J28" s="153">
        <f>J27-B27+B28</f>
        <v>19</v>
      </c>
      <c r="K28" s="141"/>
    </row>
    <row r="29" spans="1:20" x14ac:dyDescent="0.2">
      <c r="A29" s="152" t="s">
        <v>124</v>
      </c>
      <c r="B29" s="155"/>
      <c r="C29" s="155"/>
      <c r="D29" s="155"/>
      <c r="E29" s="155"/>
      <c r="F29" s="154"/>
      <c r="G29" s="155"/>
      <c r="H29" s="155"/>
      <c r="I29" s="154"/>
      <c r="J29" s="155"/>
      <c r="K29" s="141"/>
    </row>
    <row r="30" spans="1:20" x14ac:dyDescent="0.2">
      <c r="A30" s="152" t="s">
        <v>125</v>
      </c>
      <c r="B30" s="153">
        <v>3</v>
      </c>
      <c r="C30" s="153">
        <v>3</v>
      </c>
      <c r="D30" s="153">
        <v>3</v>
      </c>
      <c r="E30" s="153">
        <v>3</v>
      </c>
      <c r="F30" s="154"/>
      <c r="G30" s="153">
        <v>3</v>
      </c>
      <c r="H30" s="153">
        <v>3</v>
      </c>
      <c r="I30" s="154"/>
      <c r="J30" s="153">
        <v>3</v>
      </c>
      <c r="K30" s="141"/>
    </row>
    <row r="31" spans="1:20" ht="15" x14ac:dyDescent="0.25">
      <c r="A31" s="152" t="s">
        <v>126</v>
      </c>
      <c r="B31" s="156">
        <f>B28-B30</f>
        <v>6</v>
      </c>
      <c r="C31" s="156">
        <f>C28-C30</f>
        <v>7</v>
      </c>
      <c r="D31" s="156">
        <f>D28-D30</f>
        <v>8</v>
      </c>
      <c r="E31" s="156">
        <f>E28-E30</f>
        <v>9</v>
      </c>
      <c r="F31" s="154"/>
      <c r="G31" s="156">
        <f>G28-G30</f>
        <v>11</v>
      </c>
      <c r="H31" s="156">
        <f>H28-H30</f>
        <v>12</v>
      </c>
      <c r="I31" s="154"/>
      <c r="J31" s="156">
        <f>J28-J30</f>
        <v>16</v>
      </c>
      <c r="K31" s="141"/>
      <c r="L31"/>
      <c r="M31"/>
      <c r="N31"/>
      <c r="O31"/>
      <c r="P31"/>
      <c r="Q31"/>
      <c r="R31"/>
    </row>
    <row r="32" spans="1:20" ht="15" x14ac:dyDescent="0.25">
      <c r="A32" s="152" t="s">
        <v>127</v>
      </c>
      <c r="B32" s="157">
        <v>1000000</v>
      </c>
      <c r="C32" s="157">
        <v>600000</v>
      </c>
      <c r="D32" s="157">
        <v>600000</v>
      </c>
      <c r="E32" s="157">
        <v>600000</v>
      </c>
      <c r="F32" s="158"/>
      <c r="G32" s="157">
        <v>1500000</v>
      </c>
      <c r="H32" s="157">
        <v>1000000</v>
      </c>
      <c r="I32" s="158"/>
      <c r="J32" s="157">
        <v>2000000</v>
      </c>
      <c r="K32" s="141"/>
      <c r="L32"/>
      <c r="M32"/>
      <c r="N32"/>
      <c r="O32"/>
      <c r="P32"/>
      <c r="Q32"/>
      <c r="R32"/>
    </row>
    <row r="33" spans="1:19" ht="15" x14ac:dyDescent="0.25">
      <c r="A33" s="152" t="s">
        <v>128</v>
      </c>
      <c r="B33" s="159">
        <v>0.1</v>
      </c>
      <c r="C33" s="159">
        <v>0.1</v>
      </c>
      <c r="D33" s="159">
        <v>0.1</v>
      </c>
      <c r="E33" s="159">
        <v>0.1</v>
      </c>
      <c r="F33" s="160"/>
      <c r="G33" s="159">
        <v>0.1</v>
      </c>
      <c r="H33" s="159">
        <v>0.1</v>
      </c>
      <c r="I33" s="160"/>
      <c r="J33" s="159">
        <v>0.05</v>
      </c>
      <c r="K33" s="141"/>
      <c r="L33"/>
      <c r="M33"/>
      <c r="N33"/>
      <c r="O33"/>
      <c r="P33"/>
      <c r="Q33"/>
      <c r="R33"/>
    </row>
    <row r="34" spans="1:19" ht="15" x14ac:dyDescent="0.25">
      <c r="A34" s="152" t="s">
        <v>129</v>
      </c>
      <c r="B34" s="161"/>
      <c r="C34" s="161"/>
      <c r="D34" s="161"/>
      <c r="E34" s="161"/>
      <c r="F34" s="162"/>
      <c r="G34" s="161"/>
      <c r="H34" s="161"/>
      <c r="I34" s="162"/>
      <c r="J34" s="161"/>
      <c r="K34" s="141"/>
      <c r="L34"/>
      <c r="M34"/>
      <c r="N34"/>
      <c r="O34"/>
      <c r="P34"/>
      <c r="Q34"/>
      <c r="R34"/>
    </row>
    <row r="35" spans="1:19" ht="15" x14ac:dyDescent="0.25">
      <c r="A35" s="152" t="s">
        <v>182</v>
      </c>
      <c r="B35" s="163">
        <f>B32*(1+B33)^B28</f>
        <v>2357947.6910000015</v>
      </c>
      <c r="C35" s="163">
        <f>C32*(1+C33)^C28</f>
        <v>1556245.4760600012</v>
      </c>
      <c r="D35" s="163">
        <f>D32*(1+D33)^D28</f>
        <v>1711870.0236660014</v>
      </c>
      <c r="E35" s="163">
        <f>E32*(1+E33)^E28</f>
        <v>1883057.0260326015</v>
      </c>
      <c r="F35" s="158"/>
      <c r="G35" s="163">
        <f>G32*(1+G33)^G28</f>
        <v>5696247.5037486209</v>
      </c>
      <c r="H35" s="163">
        <f>H32*(1+H33)^H28</f>
        <v>4177248.1694156555</v>
      </c>
      <c r="I35" s="158"/>
      <c r="J35" s="163">
        <f>J32*(1+J33)^J28</f>
        <v>5053900.390751278</v>
      </c>
      <c r="K35" s="141"/>
      <c r="L35"/>
      <c r="M35"/>
      <c r="N35"/>
      <c r="O35"/>
      <c r="P35"/>
      <c r="Q35"/>
      <c r="R35"/>
    </row>
    <row r="36" spans="1:19" ht="15" x14ac:dyDescent="0.25">
      <c r="A36" s="251" t="s">
        <v>131</v>
      </c>
      <c r="B36" s="252"/>
      <c r="C36" s="252"/>
      <c r="D36" s="252"/>
      <c r="E36" s="252"/>
      <c r="F36" s="253"/>
      <c r="G36" s="252"/>
      <c r="H36" s="252"/>
      <c r="I36" s="253"/>
      <c r="J36" s="252"/>
      <c r="K36" s="141"/>
      <c r="L36" s="143" t="s">
        <v>170</v>
      </c>
      <c r="M36"/>
      <c r="N36"/>
      <c r="O36"/>
      <c r="P36"/>
      <c r="Q36"/>
      <c r="R36"/>
    </row>
    <row r="37" spans="1:19" ht="15" x14ac:dyDescent="0.25">
      <c r="A37" s="251" t="s">
        <v>132</v>
      </c>
      <c r="B37" s="254">
        <v>0.1</v>
      </c>
      <c r="C37" s="254">
        <v>0.1</v>
      </c>
      <c r="D37" s="254">
        <v>0.12</v>
      </c>
      <c r="E37" s="254">
        <v>0.12</v>
      </c>
      <c r="F37" s="255"/>
      <c r="G37" s="254">
        <v>0.12</v>
      </c>
      <c r="H37" s="254">
        <v>0.12</v>
      </c>
      <c r="I37" s="255"/>
      <c r="J37" s="254">
        <v>0.08</v>
      </c>
      <c r="K37" s="141"/>
      <c r="L37"/>
      <c r="M37"/>
      <c r="N37"/>
      <c r="O37"/>
      <c r="P37"/>
      <c r="Q37"/>
      <c r="R37"/>
    </row>
    <row r="38" spans="1:19" ht="15" x14ac:dyDescent="0.25">
      <c r="A38" s="251" t="s">
        <v>133</v>
      </c>
      <c r="B38" s="256">
        <f>B36*(1+B37)^B31</f>
        <v>0</v>
      </c>
      <c r="C38" s="256">
        <f>C36*(1+C37)^C31</f>
        <v>0</v>
      </c>
      <c r="D38" s="256">
        <f>D36*(1+D37)^D31</f>
        <v>0</v>
      </c>
      <c r="E38" s="256">
        <f>E36*(1+E37)^E31</f>
        <v>0</v>
      </c>
      <c r="F38" s="253"/>
      <c r="G38" s="256">
        <f>G36*(1+G37)^G31</f>
        <v>0</v>
      </c>
      <c r="H38" s="256">
        <f>H36*(1+H37)^H31</f>
        <v>0</v>
      </c>
      <c r="I38" s="253"/>
      <c r="J38" s="256">
        <f>J36*(1+J37)^J31</f>
        <v>0</v>
      </c>
      <c r="K38" s="141"/>
      <c r="L38"/>
      <c r="M38"/>
      <c r="N38"/>
      <c r="O38"/>
      <c r="P38"/>
      <c r="Q38"/>
      <c r="R38"/>
    </row>
    <row r="39" spans="1:19" x14ac:dyDescent="0.2">
      <c r="A39" s="251" t="s">
        <v>134</v>
      </c>
      <c r="B39" s="254">
        <v>0</v>
      </c>
      <c r="C39" s="257">
        <f>gdg</f>
        <v>0</v>
      </c>
      <c r="D39" s="257">
        <f>gdg</f>
        <v>0</v>
      </c>
      <c r="E39" s="257">
        <f>gdg</f>
        <v>0</v>
      </c>
      <c r="F39" s="255"/>
      <c r="G39" s="257">
        <f>gdg</f>
        <v>0</v>
      </c>
      <c r="H39" s="257">
        <f>gdg</f>
        <v>0</v>
      </c>
      <c r="I39" s="255"/>
      <c r="J39" s="254">
        <v>0</v>
      </c>
      <c r="K39" s="141"/>
      <c r="L39" s="170"/>
      <c r="M39" s="170"/>
      <c r="N39" s="170"/>
      <c r="O39" s="170"/>
      <c r="P39" s="170"/>
      <c r="Q39" s="170"/>
      <c r="R39" s="170"/>
    </row>
    <row r="40" spans="1:19" x14ac:dyDescent="0.2">
      <c r="A40" s="251" t="s">
        <v>135</v>
      </c>
      <c r="B40" s="258">
        <f>IF(B34=B39,(B35-B38)/(12*B31*(1+B34)^B31),(B35-B38)*(B34-B39)/(12*(1+B34)*((1+B34)^(B31)-(1+B39)^(B31))))</f>
        <v>32749.273486111131</v>
      </c>
      <c r="C40" s="258">
        <f>IF(C34=C39,(C35-C38)/(12*C31*(1+C34)^C31),(C35-C38)*(C34-C39)/(12*(1+C34)*((1+C34)^(C31)-(1+C39)^(C31))))</f>
        <v>18526.731857857158</v>
      </c>
      <c r="D40" s="258">
        <f>IF(D34=D39,(D35-D38)/(12*D31*(1+D34)^D31),(D35-D38)*(D34-D39)/(12*(1+D34)*((1+D34)^(D31)-(1+D39)^(D31))))</f>
        <v>17831.979413187513</v>
      </c>
      <c r="E40" s="258">
        <f>IF(E34=E39,(E35-E38)/(12*E31*(1+E34)^E31),(E35-E38)*(E34-E39)/(12*(1+E34)*((1+E34)^(E31)-(1+E39)^(E31))))</f>
        <v>17435.713204005569</v>
      </c>
      <c r="F40" s="253"/>
      <c r="G40" s="258">
        <f>IF(G34=G39,(G35-G38)/(12*G31*(1+G34)^G31),(G35-G38)*(G34-G39)/(12*(1+G34)*((1+G34)^(G31)-(1+G39)^(G31))))</f>
        <v>43153.390179913797</v>
      </c>
      <c r="H40" s="258">
        <f>IF(H34=H39,(H35-H38)/(12*H31*(1+H34)^H31),(H35-H38)*(H34-H39)/(12*(1+H34)*((1+H34)^(H31)-(1+H39)^(H31))))</f>
        <v>29008.667843164276</v>
      </c>
      <c r="I40" s="253"/>
      <c r="J40" s="259">
        <f>IF(J34=J39,(J35-J38)/(12*J31*(1+J34)^J31),(J35-J38)*(J34-J39)/(12*(1+J34)*((1+J34)^(J31)-(1+J39)^(J31))))</f>
        <v>26322.397868496239</v>
      </c>
      <c r="K40" s="141"/>
      <c r="L40" s="170"/>
      <c r="M40" s="170"/>
      <c r="N40" s="170"/>
      <c r="O40" s="170"/>
      <c r="P40" s="170"/>
      <c r="Q40" s="170"/>
      <c r="R40" s="170"/>
    </row>
    <row r="41" spans="1:19" x14ac:dyDescent="0.2">
      <c r="A41" s="251" t="s">
        <v>136</v>
      </c>
      <c r="B41" s="252"/>
      <c r="C41" s="256" t="str">
        <f>IF(B41=0,"",B41)</f>
        <v/>
      </c>
      <c r="D41" s="256" t="str">
        <f>IF(B41=0,"",B41)</f>
        <v/>
      </c>
      <c r="E41" s="256" t="str">
        <f>IF(B41=0,"",B41)</f>
        <v/>
      </c>
      <c r="F41" s="253"/>
      <c r="G41" s="256" t="str">
        <f>IF(B41=0,"",B41)</f>
        <v/>
      </c>
      <c r="H41" s="256" t="str">
        <f>IF(B41=0,"",B41)</f>
        <v/>
      </c>
      <c r="I41" s="253"/>
      <c r="J41" s="260"/>
      <c r="K41" s="141"/>
      <c r="L41" s="170"/>
      <c r="M41" s="170"/>
      <c r="N41" s="170"/>
      <c r="O41" s="170"/>
      <c r="P41" s="170"/>
      <c r="Q41" s="170"/>
      <c r="R41" s="170"/>
    </row>
    <row r="42" spans="1:19" x14ac:dyDescent="0.2">
      <c r="A42" s="251" t="s">
        <v>137</v>
      </c>
      <c r="B42" s="261">
        <f>IF(B34=B39,(B35-B38)/(12*(B31-B41)*(1+B34)^(B31-B41)),(B35-B38)*(B34-B39)/(12*(1+B34)*((1+B34)^(B31-B41)-(1+B39)^(B31-B41))))</f>
        <v>32749.273486111131</v>
      </c>
      <c r="C42" s="261">
        <f>IF(C41="",C40,IF(C34=C39,(C35-C38)/(12*(C31-C41)*(1+C34)^(C31-C41)),(C35-C38)*(C34-C39)/(12*(1+C34)*((1+C34)^(C31-C41)-(1+C39)^(C31-C41)))))</f>
        <v>18526.731857857158</v>
      </c>
      <c r="D42" s="261">
        <f>IF(D41="",D40,IF(D34=D39,(D35-D38)/(12*(D31-D41)*(1+D34)^(D31-D41)),(D35-D38)*(D34-D39)/(12*(1+D34)*((1+D34)^(D31-D41)-(1+D39)^(D31-D41)))))</f>
        <v>17831.979413187513</v>
      </c>
      <c r="E42" s="261">
        <f>IF(E41="",E40,IF(E34=E39,(E35-E38)/(12*(E31-E41)*(1+E34)^(E31-E41)),(E35-E38)*(E34-E39)/(12*(1+E34)*((1+E34)^(E31-E41)-(1+E39)^(E31-E41)))))</f>
        <v>17435.713204005569</v>
      </c>
      <c r="F42" s="253"/>
      <c r="G42" s="261">
        <f>IF(G41="",G40,IF(G34=G39,(G35-G38)/(12*(G31-G41)*(1+G34)^(G31-G41)),(G35-G38)*(G34-G39)/(12*(1+G34)*((1+G34)^(G31-G41)-(1+G39)^(G31-G41)))))</f>
        <v>43153.390179913797</v>
      </c>
      <c r="H42" s="261">
        <f>IF(H41="",H40,IF(H34=H39,(H35-H38)/(12*(H31-H41)*(1+H34)^(H31-H41)),(H35-H38)*(H34-H39)/(12*(1+H34)*((1+H34)^(H31-H41)-(1+H39)^(H31-H41)))))</f>
        <v>29008.667843164276</v>
      </c>
      <c r="I42" s="253"/>
      <c r="J42" s="261">
        <f>IF(J34=J39,(J35-J38)/(12*(J31-J41)*(1+J34)^(J31-J41)),(J35-J38)*(J34-J39)/(12*(1+J34)*((1+J34)^(J31-J41)-(1+J39)^(J31-J41))))</f>
        <v>26322.397868496239</v>
      </c>
      <c r="K42" s="141"/>
      <c r="L42" s="170"/>
      <c r="M42" s="170"/>
      <c r="N42" s="170"/>
      <c r="O42" s="170"/>
      <c r="P42" s="170"/>
      <c r="Q42" s="170"/>
      <c r="R42" s="170"/>
    </row>
    <row r="43" spans="1:19" x14ac:dyDescent="0.2">
      <c r="A43" s="171"/>
      <c r="B43" s="172" t="s">
        <v>117</v>
      </c>
      <c r="C43" s="172" t="s">
        <v>118</v>
      </c>
      <c r="D43" s="172" t="s">
        <v>119</v>
      </c>
      <c r="E43" s="172" t="s">
        <v>120</v>
      </c>
      <c r="F43" s="172"/>
      <c r="G43" s="172" t="s">
        <v>117</v>
      </c>
      <c r="H43" s="172" t="s">
        <v>118</v>
      </c>
      <c r="I43" s="172"/>
      <c r="J43" s="172" t="s">
        <v>114</v>
      </c>
      <c r="K43" s="141"/>
      <c r="L43" s="170"/>
      <c r="M43" s="170"/>
      <c r="N43" s="170"/>
      <c r="O43" s="170"/>
      <c r="P43" s="170"/>
      <c r="Q43" s="170"/>
      <c r="R43" s="170"/>
    </row>
    <row r="44" spans="1:19" x14ac:dyDescent="0.2">
      <c r="A44" s="141"/>
      <c r="B44" s="141"/>
      <c r="C44" s="173"/>
      <c r="D44" s="174"/>
      <c r="E44" s="174"/>
      <c r="F44" s="174"/>
      <c r="G44" s="174"/>
      <c r="H44" s="174"/>
      <c r="I44" s="174"/>
      <c r="J44" s="174"/>
      <c r="K44" s="141"/>
      <c r="L44" s="170"/>
      <c r="M44" s="170"/>
      <c r="N44" s="170"/>
      <c r="O44" s="170"/>
      <c r="P44" s="170"/>
      <c r="Q44" s="170"/>
      <c r="R44" s="170"/>
    </row>
    <row r="45" spans="1:19" x14ac:dyDescent="0.2">
      <c r="K45" s="170"/>
      <c r="L45" s="170"/>
      <c r="M45" s="170"/>
      <c r="N45" s="170"/>
      <c r="O45" s="170"/>
      <c r="P45" s="170"/>
      <c r="Q45" s="170"/>
      <c r="R45" s="170"/>
    </row>
    <row r="46" spans="1:19" ht="12" customHeight="1" x14ac:dyDescent="0.2">
      <c r="A46" s="203" t="s">
        <v>171</v>
      </c>
      <c r="B46" s="143" t="s">
        <v>183</v>
      </c>
      <c r="L46" s="143" t="s">
        <v>222</v>
      </c>
    </row>
    <row r="47" spans="1:19" ht="15" x14ac:dyDescent="0.25">
      <c r="A47" s="179" t="s">
        <v>145</v>
      </c>
      <c r="B47" s="180" t="s">
        <v>147</v>
      </c>
      <c r="C47" s="180"/>
      <c r="D47" s="180"/>
      <c r="E47" s="180"/>
      <c r="F47"/>
      <c r="G47" s="180"/>
      <c r="H47" s="180"/>
      <c r="J47" s="180"/>
      <c r="L47" s="180"/>
      <c r="M47" s="180"/>
      <c r="N47" s="180"/>
      <c r="O47" s="180"/>
      <c r="P47" s="180"/>
      <c r="Q47" s="180"/>
      <c r="R47" s="180"/>
      <c r="S47" s="180"/>
    </row>
    <row r="48" spans="1:19" ht="15" x14ac:dyDescent="0.25">
      <c r="A48" s="179" t="s">
        <v>148</v>
      </c>
      <c r="B48" s="186" t="s">
        <v>149</v>
      </c>
      <c r="C48" s="212" t="s">
        <v>181</v>
      </c>
      <c r="D48" s="180"/>
      <c r="E48" s="181"/>
      <c r="F48"/>
      <c r="G48" s="181"/>
      <c r="H48" s="181"/>
      <c r="J48" s="181"/>
      <c r="L48" s="181"/>
      <c r="M48" s="181"/>
      <c r="N48" s="181"/>
      <c r="O48" s="181"/>
      <c r="P48" s="181"/>
      <c r="Q48" s="181"/>
      <c r="R48" s="181"/>
      <c r="S48" s="181"/>
    </row>
    <row r="49" spans="1:19" ht="15" x14ac:dyDescent="0.25">
      <c r="A49" s="182"/>
      <c r="B49" s="204" t="s">
        <v>154</v>
      </c>
      <c r="C49" s="183"/>
      <c r="D49" s="187">
        <f ca="1">Retirement_Inputs!B6</f>
        <v>2019</v>
      </c>
      <c r="E49" s="183"/>
      <c r="F49"/>
      <c r="G49" s="183"/>
      <c r="H49" s="183"/>
      <c r="J49" s="183"/>
      <c r="L49" s="183"/>
      <c r="M49" s="183"/>
      <c r="N49" s="183"/>
      <c r="O49" s="183"/>
      <c r="P49" s="183"/>
      <c r="Q49" s="183"/>
      <c r="R49" s="183"/>
      <c r="S49" s="183"/>
    </row>
    <row r="50" spans="1:19" ht="15" x14ac:dyDescent="0.25">
      <c r="A50" s="184" t="s">
        <v>146</v>
      </c>
      <c r="B50" s="213">
        <v>2022</v>
      </c>
      <c r="C50" s="213">
        <v>2024</v>
      </c>
      <c r="D50" s="213">
        <v>2030</v>
      </c>
      <c r="E50" s="213">
        <v>2036</v>
      </c>
      <c r="F50"/>
      <c r="G50" s="213">
        <v>2037</v>
      </c>
      <c r="H50" s="213">
        <v>2040</v>
      </c>
      <c r="J50" s="213">
        <v>2050</v>
      </c>
      <c r="L50" s="213">
        <v>2022</v>
      </c>
      <c r="M50" s="213">
        <v>2023</v>
      </c>
      <c r="N50" s="213">
        <v>2024</v>
      </c>
      <c r="O50" s="213">
        <v>2029</v>
      </c>
      <c r="P50" s="213">
        <v>2050</v>
      </c>
      <c r="Q50" s="213">
        <v>2050</v>
      </c>
      <c r="R50" s="213">
        <v>2050</v>
      </c>
      <c r="S50" s="213">
        <v>2050</v>
      </c>
    </row>
    <row r="51" spans="1:19" ht="15" x14ac:dyDescent="0.25">
      <c r="A51" s="185" t="s">
        <v>123</v>
      </c>
      <c r="B51" s="187">
        <f ca="1">B50-$D$49</f>
        <v>3</v>
      </c>
      <c r="C51" s="187">
        <f ca="1">C50-$D$49</f>
        <v>5</v>
      </c>
      <c r="D51" s="187">
        <f ca="1">D50-$D$49</f>
        <v>11</v>
      </c>
      <c r="E51" s="187">
        <f ca="1">E50-$D$49</f>
        <v>17</v>
      </c>
      <c r="F51"/>
      <c r="G51" s="187">
        <f ca="1">G50-$D$49</f>
        <v>18</v>
      </c>
      <c r="H51" s="187">
        <f ca="1">H50-$D$49</f>
        <v>21</v>
      </c>
      <c r="J51" s="187">
        <f ca="1">J50-$D$49</f>
        <v>31</v>
      </c>
      <c r="L51" s="187">
        <f t="shared" ref="L51:S51" ca="1" si="5">L50-$D$49</f>
        <v>3</v>
      </c>
      <c r="M51" s="187">
        <f t="shared" ca="1" si="5"/>
        <v>4</v>
      </c>
      <c r="N51" s="187">
        <f t="shared" ca="1" si="5"/>
        <v>5</v>
      </c>
      <c r="O51" s="187">
        <f t="shared" ca="1" si="5"/>
        <v>10</v>
      </c>
      <c r="P51" s="187">
        <f t="shared" ca="1" si="5"/>
        <v>31</v>
      </c>
      <c r="Q51" s="187">
        <f t="shared" ca="1" si="5"/>
        <v>31</v>
      </c>
      <c r="R51" s="187">
        <f t="shared" ca="1" si="5"/>
        <v>31</v>
      </c>
      <c r="S51" s="187">
        <f t="shared" ca="1" si="5"/>
        <v>31</v>
      </c>
    </row>
    <row r="52" spans="1:19" ht="15" x14ac:dyDescent="0.25">
      <c r="A52" s="262" t="s">
        <v>124</v>
      </c>
      <c r="B52" s="263"/>
      <c r="C52" s="263"/>
      <c r="D52" s="263"/>
      <c r="E52" s="263"/>
      <c r="F52" s="264"/>
      <c r="G52" s="263"/>
      <c r="H52" s="263"/>
      <c r="I52" s="265"/>
      <c r="J52" s="263"/>
      <c r="K52" s="265"/>
      <c r="L52" s="263"/>
      <c r="M52" s="263"/>
      <c r="N52" s="263"/>
      <c r="O52" s="263"/>
      <c r="P52" s="263"/>
      <c r="Q52" s="263"/>
      <c r="R52" s="263"/>
      <c r="S52" s="263"/>
    </row>
    <row r="53" spans="1:19" ht="15" x14ac:dyDescent="0.25">
      <c r="A53" s="262" t="s">
        <v>125</v>
      </c>
      <c r="B53" s="263">
        <v>3</v>
      </c>
      <c r="C53" s="263">
        <v>3</v>
      </c>
      <c r="D53" s="263">
        <v>3</v>
      </c>
      <c r="E53" s="263">
        <v>3</v>
      </c>
      <c r="F53" s="264"/>
      <c r="G53" s="263">
        <v>3</v>
      </c>
      <c r="H53" s="263">
        <v>3</v>
      </c>
      <c r="I53" s="265"/>
      <c r="J53" s="263">
        <v>3</v>
      </c>
      <c r="K53" s="265"/>
      <c r="L53" s="266">
        <v>3</v>
      </c>
      <c r="M53" s="266">
        <v>3</v>
      </c>
      <c r="N53" s="266">
        <v>3</v>
      </c>
      <c r="O53" s="266">
        <v>3</v>
      </c>
      <c r="P53" s="266">
        <v>3</v>
      </c>
      <c r="Q53" s="266">
        <v>3</v>
      </c>
      <c r="R53" s="266">
        <v>3</v>
      </c>
      <c r="S53" s="266">
        <v>3</v>
      </c>
    </row>
    <row r="54" spans="1:19" ht="15" x14ac:dyDescent="0.25">
      <c r="A54" s="262" t="s">
        <v>126</v>
      </c>
      <c r="B54" s="267">
        <f t="shared" ref="B54:E54" ca="1" si="6">B51-B53</f>
        <v>0</v>
      </c>
      <c r="C54" s="267">
        <f t="shared" ca="1" si="6"/>
        <v>2</v>
      </c>
      <c r="D54" s="267">
        <f t="shared" ca="1" si="6"/>
        <v>8</v>
      </c>
      <c r="E54" s="267">
        <f t="shared" ca="1" si="6"/>
        <v>14</v>
      </c>
      <c r="F54" s="264"/>
      <c r="G54" s="267">
        <f t="shared" ref="G54:H54" ca="1" si="7">G51-G53</f>
        <v>15</v>
      </c>
      <c r="H54" s="267">
        <f t="shared" ca="1" si="7"/>
        <v>18</v>
      </c>
      <c r="I54" s="265"/>
      <c r="J54" s="267">
        <f t="shared" ref="J54:S54" ca="1" si="8">J51-J53</f>
        <v>28</v>
      </c>
      <c r="K54" s="265"/>
      <c r="L54" s="267">
        <f t="shared" ca="1" si="8"/>
        <v>0</v>
      </c>
      <c r="M54" s="267">
        <f t="shared" ca="1" si="8"/>
        <v>1</v>
      </c>
      <c r="N54" s="267">
        <f t="shared" ca="1" si="8"/>
        <v>2</v>
      </c>
      <c r="O54" s="267">
        <f t="shared" ca="1" si="8"/>
        <v>7</v>
      </c>
      <c r="P54" s="267">
        <f t="shared" ca="1" si="8"/>
        <v>28</v>
      </c>
      <c r="Q54" s="267">
        <f t="shared" ca="1" si="8"/>
        <v>28</v>
      </c>
      <c r="R54" s="267">
        <f t="shared" ca="1" si="8"/>
        <v>28</v>
      </c>
      <c r="S54" s="267">
        <f t="shared" ca="1" si="8"/>
        <v>28</v>
      </c>
    </row>
    <row r="55" spans="1:19" ht="15" x14ac:dyDescent="0.25">
      <c r="A55" s="185" t="s">
        <v>127</v>
      </c>
      <c r="B55" s="188">
        <v>700000</v>
      </c>
      <c r="C55" s="188">
        <v>600000</v>
      </c>
      <c r="D55" s="188">
        <v>600000</v>
      </c>
      <c r="E55" s="188">
        <v>800000</v>
      </c>
      <c r="F55"/>
      <c r="G55" s="188">
        <v>800000</v>
      </c>
      <c r="H55" s="188">
        <v>500000</v>
      </c>
      <c r="J55" s="188">
        <v>500000</v>
      </c>
      <c r="L55" s="188">
        <v>200000</v>
      </c>
      <c r="M55" s="188">
        <v>200000</v>
      </c>
      <c r="N55" s="188">
        <v>200000</v>
      </c>
      <c r="O55" s="188">
        <v>-500000</v>
      </c>
      <c r="P55" s="188"/>
      <c r="Q55" s="188"/>
      <c r="R55" s="188"/>
      <c r="S55" s="188"/>
    </row>
    <row r="56" spans="1:19" ht="15" x14ac:dyDescent="0.25">
      <c r="A56" s="185" t="s">
        <v>128</v>
      </c>
      <c r="B56" s="189">
        <v>0.02</v>
      </c>
      <c r="C56" s="189">
        <v>0.03</v>
      </c>
      <c r="D56" s="189">
        <v>0.02</v>
      </c>
      <c r="E56" s="189">
        <v>0.03</v>
      </c>
      <c r="F56"/>
      <c r="G56" s="189">
        <v>0.03</v>
      </c>
      <c r="H56" s="189">
        <v>0.03</v>
      </c>
      <c r="J56" s="189">
        <v>0.03</v>
      </c>
      <c r="L56" s="189">
        <v>0.1</v>
      </c>
      <c r="M56" s="189">
        <v>0.1</v>
      </c>
      <c r="N56" s="189">
        <v>0.1</v>
      </c>
      <c r="O56" s="189">
        <v>0</v>
      </c>
      <c r="P56" s="189">
        <v>0.03</v>
      </c>
      <c r="Q56" s="189">
        <v>0.03</v>
      </c>
      <c r="R56" s="189">
        <v>0.03</v>
      </c>
      <c r="S56" s="189">
        <v>0.03</v>
      </c>
    </row>
    <row r="57" spans="1:19" ht="15" x14ac:dyDescent="0.25">
      <c r="A57" s="185" t="s">
        <v>129</v>
      </c>
      <c r="B57" s="190"/>
      <c r="C57" s="190"/>
      <c r="D57" s="190"/>
      <c r="E57" s="190"/>
      <c r="F57"/>
      <c r="G57" s="190"/>
      <c r="H57" s="190"/>
      <c r="J57" s="190"/>
      <c r="L57" s="190"/>
      <c r="M57" s="190"/>
      <c r="N57" s="190"/>
      <c r="O57" s="190"/>
      <c r="P57" s="190"/>
      <c r="Q57" s="190"/>
      <c r="R57" s="190"/>
      <c r="S57" s="190"/>
    </row>
    <row r="58" spans="1:19" ht="15" x14ac:dyDescent="0.25">
      <c r="A58" s="185" t="s">
        <v>130</v>
      </c>
      <c r="B58" s="163">
        <f ca="1">B55*(1+B56)^B51</f>
        <v>742845.6</v>
      </c>
      <c r="C58" s="163">
        <f ca="1">C55*(1+C56)^C51</f>
        <v>695564.44457999989</v>
      </c>
      <c r="D58" s="163">
        <f ca="1">D55*(1+D56)^D51</f>
        <v>746024.58503679116</v>
      </c>
      <c r="E58" s="163">
        <f ca="1">E55*(1+E56)^E51</f>
        <v>1322278.1058174006</v>
      </c>
      <c r="F58"/>
      <c r="G58" s="163">
        <f ca="1">G55*(1+G56)^G51</f>
        <v>1361946.4489919227</v>
      </c>
      <c r="H58" s="163">
        <f ca="1">H55*(1+H56)^H51</f>
        <v>930147.28585474775</v>
      </c>
      <c r="J58" s="163">
        <f ca="1">J55*(1+J56)^J51</f>
        <v>1250040.1726626747</v>
      </c>
      <c r="L58" s="163">
        <f t="shared" ref="L58:S58" ca="1" si="9">L55*(1+L56)^L51</f>
        <v>266200.00000000006</v>
      </c>
      <c r="M58" s="163">
        <f t="shared" ca="1" si="9"/>
        <v>292820.00000000006</v>
      </c>
      <c r="N58" s="163">
        <f t="shared" ca="1" si="9"/>
        <v>322102.00000000012</v>
      </c>
      <c r="O58" s="163">
        <f t="shared" ca="1" si="9"/>
        <v>-500000</v>
      </c>
      <c r="P58" s="163">
        <f t="shared" ca="1" si="9"/>
        <v>0</v>
      </c>
      <c r="Q58" s="163">
        <f t="shared" ca="1" si="9"/>
        <v>0</v>
      </c>
      <c r="R58" s="163">
        <f t="shared" ca="1" si="9"/>
        <v>0</v>
      </c>
      <c r="S58" s="163">
        <f t="shared" ca="1" si="9"/>
        <v>0</v>
      </c>
    </row>
    <row r="59" spans="1:19" ht="15" hidden="1" x14ac:dyDescent="0.25">
      <c r="A59" s="185" t="s">
        <v>131</v>
      </c>
      <c r="B59" s="188"/>
      <c r="C59" s="188"/>
      <c r="D59" s="188"/>
      <c r="E59" s="188"/>
      <c r="F59"/>
      <c r="G59" s="188"/>
      <c r="H59" s="188"/>
      <c r="J59" s="188"/>
      <c r="L59" s="188"/>
      <c r="M59" s="188"/>
      <c r="N59" s="188"/>
      <c r="O59" s="188"/>
      <c r="P59" s="188"/>
      <c r="Q59" s="188"/>
      <c r="R59" s="188"/>
      <c r="S59" s="188"/>
    </row>
    <row r="60" spans="1:19" ht="15" hidden="1" x14ac:dyDescent="0.25">
      <c r="A60" s="185" t="s">
        <v>132</v>
      </c>
      <c r="B60" s="190">
        <v>7.0000000000000007E-2</v>
      </c>
      <c r="C60" s="190">
        <v>7.0000000000000007E-2</v>
      </c>
      <c r="D60" s="190">
        <v>0.1</v>
      </c>
      <c r="E60" s="190">
        <v>0.1</v>
      </c>
      <c r="F60"/>
      <c r="G60" s="190">
        <v>0.1</v>
      </c>
      <c r="H60" s="190">
        <v>0.1</v>
      </c>
      <c r="J60" s="190">
        <v>0.1</v>
      </c>
      <c r="L60" s="190">
        <v>0.1</v>
      </c>
      <c r="M60" s="190">
        <v>0.1</v>
      </c>
      <c r="N60" s="190">
        <v>0.1</v>
      </c>
      <c r="O60" s="190">
        <v>0.1</v>
      </c>
      <c r="P60" s="190">
        <v>0.1</v>
      </c>
      <c r="Q60" s="190">
        <v>0.1</v>
      </c>
      <c r="R60" s="190">
        <v>0.1</v>
      </c>
      <c r="S60" s="190">
        <v>0.1</v>
      </c>
    </row>
    <row r="61" spans="1:19" ht="15" hidden="1" x14ac:dyDescent="0.25">
      <c r="A61" s="185" t="s">
        <v>133</v>
      </c>
      <c r="B61" s="191">
        <f ca="1">B59*(1+B60)^B54</f>
        <v>0</v>
      </c>
      <c r="C61" s="191">
        <f ca="1">C59*(1+C60)^C54</f>
        <v>0</v>
      </c>
      <c r="D61" s="191">
        <f ca="1">D59*(1+D60)^D54</f>
        <v>0</v>
      </c>
      <c r="E61" s="191">
        <f ca="1">E59*(1+E60)^E54</f>
        <v>0</v>
      </c>
      <c r="F61"/>
      <c r="G61" s="191">
        <f ca="1">G59*(1+G60)^G54</f>
        <v>0</v>
      </c>
      <c r="H61" s="191">
        <f ca="1">H59*(1+H60)^H54</f>
        <v>0</v>
      </c>
      <c r="J61" s="191">
        <f ca="1">J59*(1+J60)^J54</f>
        <v>0</v>
      </c>
      <c r="L61" s="191">
        <f t="shared" ref="L61:S61" ca="1" si="10">L59*(1+L60)^L54</f>
        <v>0</v>
      </c>
      <c r="M61" s="191">
        <f t="shared" ca="1" si="10"/>
        <v>0</v>
      </c>
      <c r="N61" s="191">
        <f t="shared" ca="1" si="10"/>
        <v>0</v>
      </c>
      <c r="O61" s="191">
        <f t="shared" ca="1" si="10"/>
        <v>0</v>
      </c>
      <c r="P61" s="191">
        <f t="shared" ca="1" si="10"/>
        <v>0</v>
      </c>
      <c r="Q61" s="191">
        <f t="shared" ca="1" si="10"/>
        <v>0</v>
      </c>
      <c r="R61" s="191">
        <f t="shared" ca="1" si="10"/>
        <v>0</v>
      </c>
      <c r="S61" s="191">
        <f t="shared" ca="1" si="10"/>
        <v>0</v>
      </c>
    </row>
    <row r="62" spans="1:19" ht="15" hidden="1" x14ac:dyDescent="0.25">
      <c r="A62" s="185" t="s">
        <v>134</v>
      </c>
      <c r="B62" s="190">
        <v>0</v>
      </c>
      <c r="C62" s="194">
        <f>gdg</f>
        <v>0</v>
      </c>
      <c r="D62" s="194">
        <f>gdg</f>
        <v>0</v>
      </c>
      <c r="E62" s="194">
        <f>gdg</f>
        <v>0</v>
      </c>
      <c r="F62"/>
      <c r="G62" s="194">
        <f>gdg</f>
        <v>0</v>
      </c>
      <c r="H62" s="194">
        <f>gdg</f>
        <v>0</v>
      </c>
      <c r="J62" s="194">
        <f>gdg</f>
        <v>0</v>
      </c>
      <c r="L62" s="194">
        <f t="shared" ref="L62:S62" si="11">gdg</f>
        <v>0</v>
      </c>
      <c r="M62" s="194">
        <f t="shared" si="11"/>
        <v>0</v>
      </c>
      <c r="N62" s="194">
        <f t="shared" si="11"/>
        <v>0</v>
      </c>
      <c r="O62" s="194">
        <f t="shared" si="11"/>
        <v>0</v>
      </c>
      <c r="P62" s="194">
        <f t="shared" si="11"/>
        <v>0</v>
      </c>
      <c r="Q62" s="194">
        <f t="shared" si="11"/>
        <v>0</v>
      </c>
      <c r="R62" s="194">
        <f t="shared" si="11"/>
        <v>0</v>
      </c>
      <c r="S62" s="194">
        <f t="shared" si="11"/>
        <v>0</v>
      </c>
    </row>
    <row r="63" spans="1:19" ht="15" hidden="1" x14ac:dyDescent="0.25">
      <c r="A63" s="185" t="s">
        <v>135</v>
      </c>
      <c r="B63" s="195" t="e">
        <f ca="1">IF(B57=B62,(B58-B61)/(12*B54*(1+B57)^B54),(B58-B61)*(B57-B62)/(12*(1+B57)*((1+B57)^(B54)-(1+B62)^(B54))))</f>
        <v>#DIV/0!</v>
      </c>
      <c r="C63" s="195">
        <f ca="1">IF(C57=C62,(C58-C61)/(12*C54*(1+C57)^C54),(C58-C61)*(C57-C62)/(12*(1+C57)*((1+C57)^(C54)-(1+C62)^(C54))))</f>
        <v>28981.851857499994</v>
      </c>
      <c r="D63" s="195">
        <f ca="1">IF(D57=D62,(D58-D61)/(12*D54*(1+D57)^D54),(D58-D61)*(D57-D62)/(12*(1+D57)*((1+D57)^(D54)-(1+D62)^(D54))))</f>
        <v>7771.0894274665743</v>
      </c>
      <c r="E63" s="195">
        <f ca="1">IF(E57=E62,(E58-E61)/(12*E54*(1+E57)^E54),(E58-E61)*(E57-E62)/(12*(1+E57)*((1+E57)^(E54)-(1+E62)^(E54))))</f>
        <v>7870.7030108178606</v>
      </c>
      <c r="F63"/>
      <c r="G63" s="195">
        <f ca="1">IF(G57=G62,(G58-G61)/(12*G54*(1+G57)^G54),(G58-G61)*(G57-G62)/(12*(1+G57)*((1+G57)^(G54)-(1+G62)^(G54))))</f>
        <v>7566.3691610662372</v>
      </c>
      <c r="H63" s="195">
        <f ca="1">IF(H57=H62,(H58-H61)/(12*H54*(1+H57)^H54),(H58-H61)*(H57-H62)/(12*(1+H57)*((1+H57)^(H54)-(1+H62)^(H54))))</f>
        <v>4306.2374345127209</v>
      </c>
      <c r="J63" s="195">
        <f ca="1">IF(J57=J62,(J58-J61)/(12*J54*(1+J57)^J54),(J58-J61)*(J57-J62)/(12*(1+J57)*((1+J57)^(J54)-(1+J62)^(J54))))</f>
        <v>3720.3576567341506</v>
      </c>
      <c r="L63" s="195" t="e">
        <f t="shared" ref="L63:S63" ca="1" si="12">IF(L57=L62,(L58-L61)/(12*L54*(1+L57)^L54),(L58-L61)*(L57-L62)/(12*(1+L57)*((1+L57)^(L54)-(1+L62)^(L54))))</f>
        <v>#DIV/0!</v>
      </c>
      <c r="M63" s="195">
        <f t="shared" ca="1" si="12"/>
        <v>24401.666666666672</v>
      </c>
      <c r="N63" s="195">
        <f t="shared" ca="1" si="12"/>
        <v>13420.916666666672</v>
      </c>
      <c r="O63" s="195">
        <f t="shared" ca="1" si="12"/>
        <v>-5952.3809523809523</v>
      </c>
      <c r="P63" s="195">
        <f t="shared" ca="1" si="12"/>
        <v>0</v>
      </c>
      <c r="Q63" s="195">
        <f t="shared" ca="1" si="12"/>
        <v>0</v>
      </c>
      <c r="R63" s="195">
        <f t="shared" ca="1" si="12"/>
        <v>0</v>
      </c>
      <c r="S63" s="195">
        <f t="shared" ca="1" si="12"/>
        <v>0</v>
      </c>
    </row>
    <row r="64" spans="1:19" ht="15" hidden="1" x14ac:dyDescent="0.25">
      <c r="A64" s="185" t="s">
        <v>136</v>
      </c>
      <c r="B64" s="188"/>
      <c r="C64" s="191" t="str">
        <f>IF(B64=0,"",B64)</f>
        <v/>
      </c>
      <c r="D64" s="191" t="str">
        <f>IF(B64=0,"",B64)</f>
        <v/>
      </c>
      <c r="E64" s="191" t="str">
        <f>IF(B64=0,"",B64)</f>
        <v/>
      </c>
      <c r="F64"/>
      <c r="G64" s="191" t="str">
        <f>IF(D64=0,"",D64)</f>
        <v/>
      </c>
      <c r="H64" s="191" t="str">
        <f>IF(E64=0,"",E64)</f>
        <v/>
      </c>
      <c r="J64" s="191" t="str">
        <f>IF(G64=0,"",G64)</f>
        <v/>
      </c>
      <c r="L64" s="191" t="str">
        <f t="shared" ref="L64:S64" si="13">IF(I64=0,"",I64)</f>
        <v/>
      </c>
      <c r="M64" s="191" t="str">
        <f t="shared" si="13"/>
        <v/>
      </c>
      <c r="N64" s="191" t="str">
        <f t="shared" si="13"/>
        <v/>
      </c>
      <c r="O64" s="191" t="str">
        <f t="shared" si="13"/>
        <v/>
      </c>
      <c r="P64" s="191" t="str">
        <f t="shared" si="13"/>
        <v/>
      </c>
      <c r="Q64" s="191" t="str">
        <f t="shared" si="13"/>
        <v/>
      </c>
      <c r="R64" s="191" t="str">
        <f t="shared" si="13"/>
        <v/>
      </c>
      <c r="S64" s="191" t="str">
        <f t="shared" si="13"/>
        <v/>
      </c>
    </row>
    <row r="65" spans="1:19" ht="15" hidden="1" x14ac:dyDescent="0.25">
      <c r="A65" s="185" t="s">
        <v>137</v>
      </c>
      <c r="B65" s="196" t="e">
        <f ca="1">IF(B57=B62,(B58-B61)/(12*(B54-B64)*(1+B57)^(B54-B64)),(B58-B61)*(B57-B62)/(12*(1+B57)*((1+B57)^(B54-B64)-(1+B62)^(B54-B64))))</f>
        <v>#DIV/0!</v>
      </c>
      <c r="C65" s="196">
        <f ca="1">IF(C64="",C63,IF(C57=C62,(C58-C61)/(12*(C54-C64)*(1+C57)^(C54-C64)),(C58-C61)*(C57-C62)/(12*(1+C57)*((1+C57)^(C54-C64)-(1+C62)^(C54-C64)))))</f>
        <v>28981.851857499994</v>
      </c>
      <c r="D65" s="196">
        <f ca="1">IF(D64="",D63,IF(D57=D62,(D58-D61)/(12*(D54-D64)*(1+D57)^(D54-D64)),(D58-D61)*(D57-D62)/(12*(1+D57)*((1+D57)^(D54-D64)-(1+D62)^(D54-D64)))))</f>
        <v>7771.0894274665743</v>
      </c>
      <c r="E65" s="196">
        <f ca="1">IF(E64="",E63,IF(E57=E62,(E58-E61)/(12*(E54-E64)*(1+E57)^(E54-E64)),(E58-E61)*(E57-E62)/(12*(1+E57)*((1+E57)^(E54-E64)-(1+E62)^(E54-E64)))))</f>
        <v>7870.7030108178606</v>
      </c>
      <c r="F65"/>
      <c r="G65" s="196">
        <f ca="1">IF(G64="",G63,IF(G57=G62,(G58-G61)/(12*(G54-G64)*(1+G57)^(G54-G64)),(G58-G61)*(G57-G62)/(12*(1+G57)*((1+G57)^(G54-G64)-(1+G62)^(G54-G64)))))</f>
        <v>7566.3691610662372</v>
      </c>
      <c r="H65" s="196">
        <f ca="1">IF(H64="",H63,IF(H57=H62,(H58-H61)/(12*(H54-H64)*(1+H57)^(H54-H64)),(H58-H61)*(H57-H62)/(12*(1+H57)*((1+H57)^(H54-H64)-(1+H62)^(H54-H64)))))</f>
        <v>4306.2374345127209</v>
      </c>
      <c r="J65" s="196">
        <f ca="1">IF(J64="",J63,IF(J57=J62,(J58-J61)/(12*(J54-J64)*(1+J57)^(J54-J64)),(J58-J61)*(J57-J62)/(12*(1+J57)*((1+J57)^(J54-J64)-(1+J62)^(J54-J64)))))</f>
        <v>3720.3576567341506</v>
      </c>
      <c r="L65" s="196" t="e">
        <f t="shared" ref="L65:S65" ca="1" si="14">IF(L64="",L63,IF(L57=L62,(L58-L61)/(12*(L54-L64)*(1+L57)^(L54-L64)),(L58-L61)*(L57-L62)/(12*(1+L57)*((1+L57)^(L54-L64)-(1+L62)^(L54-L64)))))</f>
        <v>#DIV/0!</v>
      </c>
      <c r="M65" s="196">
        <f t="shared" ca="1" si="14"/>
        <v>24401.666666666672</v>
      </c>
      <c r="N65" s="196">
        <f t="shared" ca="1" si="14"/>
        <v>13420.916666666672</v>
      </c>
      <c r="O65" s="196">
        <f t="shared" ca="1" si="14"/>
        <v>-5952.3809523809523</v>
      </c>
      <c r="P65" s="196">
        <f t="shared" ca="1" si="14"/>
        <v>0</v>
      </c>
      <c r="Q65" s="196">
        <f t="shared" ca="1" si="14"/>
        <v>0</v>
      </c>
      <c r="R65" s="196">
        <f t="shared" ca="1" si="14"/>
        <v>0</v>
      </c>
      <c r="S65" s="196">
        <f t="shared" ca="1" si="14"/>
        <v>0</v>
      </c>
    </row>
    <row r="66" spans="1:19" ht="15" x14ac:dyDescent="0.25">
      <c r="A66" s="192" t="s">
        <v>153</v>
      </c>
      <c r="B66" s="193" t="s">
        <v>150</v>
      </c>
      <c r="C66" s="193" t="s">
        <v>151</v>
      </c>
      <c r="D66" s="193" t="s">
        <v>150</v>
      </c>
      <c r="E66" s="193" t="s">
        <v>152</v>
      </c>
      <c r="F66"/>
      <c r="G66" s="193" t="s">
        <v>150</v>
      </c>
      <c r="H66" s="193" t="s">
        <v>151</v>
      </c>
      <c r="J66" s="193" t="s">
        <v>151</v>
      </c>
      <c r="L66" s="193" t="s">
        <v>162</v>
      </c>
      <c r="M66" s="193" t="s">
        <v>162</v>
      </c>
      <c r="N66" s="193" t="s">
        <v>162</v>
      </c>
      <c r="O66" s="268" t="s">
        <v>223</v>
      </c>
      <c r="P66" s="193" t="s">
        <v>151</v>
      </c>
      <c r="Q66" s="193" t="s">
        <v>151</v>
      </c>
      <c r="R66" s="193" t="s">
        <v>151</v>
      </c>
      <c r="S66" s="193" t="s">
        <v>151</v>
      </c>
    </row>
    <row r="67" spans="1:19" ht="15" x14ac:dyDescent="0.25">
      <c r="A67" s="197"/>
      <c r="B67" s="193">
        <f>B50</f>
        <v>2022</v>
      </c>
      <c r="C67" s="193">
        <f t="shared" ref="C67:E67" si="15">C50</f>
        <v>2024</v>
      </c>
      <c r="D67" s="193">
        <f t="shared" si="15"/>
        <v>2030</v>
      </c>
      <c r="E67" s="193">
        <f t="shared" si="15"/>
        <v>2036</v>
      </c>
      <c r="F67"/>
      <c r="G67" s="193">
        <f t="shared" ref="G67:H67" si="16">G50</f>
        <v>2037</v>
      </c>
      <c r="H67" s="193">
        <f t="shared" si="16"/>
        <v>2040</v>
      </c>
      <c r="J67" s="193">
        <f t="shared" ref="J67:S67" si="17">J50</f>
        <v>2050</v>
      </c>
      <c r="L67" s="193">
        <f t="shared" si="17"/>
        <v>2022</v>
      </c>
      <c r="M67" s="193">
        <f t="shared" si="17"/>
        <v>2023</v>
      </c>
      <c r="N67" s="193">
        <f t="shared" si="17"/>
        <v>2024</v>
      </c>
      <c r="O67" s="193">
        <f t="shared" si="17"/>
        <v>2029</v>
      </c>
      <c r="P67" s="193">
        <f t="shared" si="17"/>
        <v>2050</v>
      </c>
      <c r="Q67" s="193">
        <f t="shared" si="17"/>
        <v>2050</v>
      </c>
      <c r="R67" s="193">
        <f t="shared" si="17"/>
        <v>2050</v>
      </c>
      <c r="S67" s="193">
        <f t="shared" si="17"/>
        <v>2050</v>
      </c>
    </row>
    <row r="68" spans="1:19" ht="15" x14ac:dyDescent="0.25">
      <c r="A68"/>
      <c r="B68"/>
      <c r="C68"/>
      <c r="D68"/>
      <c r="E68"/>
      <c r="F68"/>
      <c r="L68" s="177"/>
      <c r="M68" s="175"/>
      <c r="R68" s="176"/>
    </row>
    <row r="72" spans="1:19" ht="52.5" customHeight="1" x14ac:dyDescent="0.25">
      <c r="A72" s="225" t="s">
        <v>192</v>
      </c>
      <c r="B72" s="275" t="s">
        <v>189</v>
      </c>
      <c r="C72" s="275" t="s">
        <v>190</v>
      </c>
      <c r="D72" s="275" t="s">
        <v>191</v>
      </c>
      <c r="E72" s="275" t="s">
        <v>249</v>
      </c>
    </row>
    <row r="73" spans="1:19" ht="15" x14ac:dyDescent="0.25">
      <c r="A73" s="277" t="s">
        <v>188</v>
      </c>
      <c r="B73" s="86">
        <v>0.05</v>
      </c>
      <c r="C73" s="86">
        <v>0</v>
      </c>
      <c r="D73" s="86">
        <v>0</v>
      </c>
      <c r="E73" s="86">
        <v>0</v>
      </c>
    </row>
    <row r="74" spans="1:19" ht="15" x14ac:dyDescent="0.25">
      <c r="A74" s="277" t="s">
        <v>247</v>
      </c>
      <c r="B74" s="276">
        <v>15000</v>
      </c>
      <c r="C74" s="276">
        <v>5000</v>
      </c>
      <c r="D74" s="276">
        <v>4000</v>
      </c>
      <c r="E74" s="276">
        <v>5000</v>
      </c>
    </row>
    <row r="75" spans="1:19" ht="26.25" x14ac:dyDescent="0.25">
      <c r="A75" s="278" t="s">
        <v>251</v>
      </c>
      <c r="B75" s="276"/>
      <c r="C75" s="276"/>
      <c r="D75" s="276">
        <v>2030</v>
      </c>
      <c r="E75" s="276">
        <v>2035</v>
      </c>
    </row>
    <row r="76" spans="1:19" ht="26.25" x14ac:dyDescent="0.25">
      <c r="A76" s="278" t="s">
        <v>248</v>
      </c>
      <c r="B76" s="276"/>
      <c r="C76" s="276">
        <v>2060</v>
      </c>
      <c r="D76" s="276"/>
      <c r="E76" s="276"/>
    </row>
    <row r="78" spans="1:19" ht="15" x14ac:dyDescent="0.25">
      <c r="A78" s="279" t="s">
        <v>252</v>
      </c>
      <c r="B78" s="143">
        <f ca="1">IF(B75&gt;0,B75,Retirement_Inputs!$B$6+yr_to_ret)</f>
        <v>2027</v>
      </c>
      <c r="C78" s="143">
        <f ca="1">IF(C75&gt;0,C75,Retirement_Inputs!$B$6+yr_to_ret)</f>
        <v>2027</v>
      </c>
      <c r="D78" s="143">
        <f>IF(D75&gt;0,D75,Retirement_Inputs!$B$6+yr_to_ret)</f>
        <v>2030</v>
      </c>
      <c r="E78" s="143">
        <f>IF(E75&gt;0,E75,Retirement_Inputs!$B$6+yr_to_ret)</f>
        <v>2035</v>
      </c>
      <c r="F78"/>
    </row>
    <row r="79" spans="1:19" ht="15" x14ac:dyDescent="0.25">
      <c r="A79" s="279" t="s">
        <v>253</v>
      </c>
      <c r="B79" s="143">
        <f ca="1">IF(B76&gt;0,B76,Retirement_Inputs!$B$6+yr_to_ret+Retirement_Inputs!$B$14)</f>
        <v>2072</v>
      </c>
      <c r="C79" s="143">
        <f>IF(C76&gt;0,C76,Retirement_Inputs!$B$6+yr_to_ret+Retirement_Inputs!$B$14)</f>
        <v>2060</v>
      </c>
      <c r="D79" s="143">
        <f ca="1">IF(D76&gt;0,D76,Retirement_Inputs!$B$6+yr_to_ret+Retirement_Inputs!$B$14)</f>
        <v>2072</v>
      </c>
      <c r="E79" s="143">
        <f ca="1">IF(E76&gt;0,E76,Retirement_Inputs!$B$6+yr_to_ret+Retirement_Inputs!$B$14)</f>
        <v>2072</v>
      </c>
      <c r="F79"/>
    </row>
    <row r="80" spans="1:19" ht="15" x14ac:dyDescent="0.25">
      <c r="A80"/>
      <c r="B80"/>
      <c r="C80"/>
      <c r="D80"/>
      <c r="E80"/>
      <c r="F80"/>
    </row>
    <row r="81" spans="1:6" ht="15" x14ac:dyDescent="0.25">
      <c r="A81"/>
      <c r="B81"/>
      <c r="C81"/>
      <c r="D81"/>
      <c r="E81"/>
      <c r="F81"/>
    </row>
    <row r="82" spans="1:6" ht="15" x14ac:dyDescent="0.25">
      <c r="A82"/>
      <c r="B82"/>
      <c r="C82"/>
      <c r="D82"/>
      <c r="E82"/>
      <c r="F82"/>
    </row>
    <row r="83" spans="1:6" ht="15" x14ac:dyDescent="0.25">
      <c r="A83"/>
      <c r="B83"/>
      <c r="C83"/>
      <c r="D83"/>
      <c r="E83"/>
      <c r="F83"/>
    </row>
  </sheetData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2:I23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3" max="3" width="21" customWidth="1"/>
    <col min="4" max="4" width="15.5703125" customWidth="1"/>
    <col min="5" max="6" width="22" customWidth="1"/>
    <col min="9" max="9" width="13" style="221" customWidth="1"/>
  </cols>
  <sheetData>
    <row r="2" spans="1:9" ht="15.75" x14ac:dyDescent="0.25">
      <c r="B2" s="218"/>
      <c r="C2" s="220" t="s">
        <v>199</v>
      </c>
      <c r="D2" s="80"/>
      <c r="E2" s="80"/>
      <c r="F2" s="80"/>
      <c r="G2" s="80"/>
      <c r="H2" s="80"/>
    </row>
    <row r="3" spans="1:9" x14ac:dyDescent="0.25">
      <c r="B3" s="222">
        <f ca="1">YearlyCashFlow!A7</f>
        <v>2020</v>
      </c>
      <c r="D3" s="80"/>
      <c r="G3" s="80"/>
      <c r="H3" s="80"/>
    </row>
    <row r="4" spans="1:9" ht="21" customHeight="1" x14ac:dyDescent="0.25">
      <c r="B4" s="82"/>
      <c r="C4" s="223" t="s">
        <v>207</v>
      </c>
      <c r="D4" s="80"/>
      <c r="G4" s="80"/>
      <c r="H4" s="80"/>
    </row>
    <row r="5" spans="1:9" ht="36" customHeight="1" x14ac:dyDescent="0.25">
      <c r="A5" s="224" t="s">
        <v>200</v>
      </c>
      <c r="B5" s="225" t="s">
        <v>201</v>
      </c>
      <c r="C5" s="235" t="s">
        <v>202</v>
      </c>
      <c r="D5" s="226" t="s">
        <v>203</v>
      </c>
      <c r="E5" s="227" t="s">
        <v>208</v>
      </c>
      <c r="F5" s="227" t="s">
        <v>206</v>
      </c>
      <c r="G5" s="228" t="s">
        <v>204</v>
      </c>
      <c r="I5" s="229" t="s">
        <v>205</v>
      </c>
    </row>
    <row r="6" spans="1:9" x14ac:dyDescent="0.25">
      <c r="A6" s="47">
        <f>'0+10 Buckets income ladder'!B16</f>
        <v>0</v>
      </c>
      <c r="B6" s="230" t="str">
        <f ca="1">CONCATENATE($B$3," - ", $B$3+'0+10 Buckets income ladder'!C16-1)</f>
        <v>2020 - 2024</v>
      </c>
      <c r="C6" s="198" t="s">
        <v>211</v>
      </c>
      <c r="D6" s="231">
        <f>'0+10 Buckets income ladder'!G16</f>
        <v>0</v>
      </c>
      <c r="E6" s="232" t="str">
        <f>IF(D6&gt;0,'Subjective Stress Reducer'!I6/(SUM(Retirement_Inputs!$B$27:$B$30)),"NA")</f>
        <v>NA</v>
      </c>
      <c r="F6" s="232" t="str">
        <f>IF(D6&gt;0,'Subjective Stress Reducer'!I6/(SUM(Retirement_Inputs!$B$27:$B$30,Retirement_Inputs!$C$34)),"NA")</f>
        <v>NA</v>
      </c>
      <c r="G6" s="233" t="str">
        <f>'0+10 Buckets income ladder'!F16</f>
        <v>Not applicable</v>
      </c>
      <c r="I6" s="234">
        <f>'Subjective Stress Reducer'!D6</f>
        <v>0</v>
      </c>
    </row>
    <row r="7" spans="1:9" x14ac:dyDescent="0.25">
      <c r="A7" s="47">
        <f>'0+10 Buckets income ladder'!B17</f>
        <v>1</v>
      </c>
      <c r="B7" s="230" t="str">
        <f ca="1">CONCATENATE( $B$3+'0+10 Buckets income ladder'!C17, " - ",  $B$3+'0+10 Buckets income ladder'!C17+'0+10 Buckets income ladder'!C18-1)</f>
        <v>2025 - 2029</v>
      </c>
      <c r="C7" s="198" t="str">
        <f t="shared" ref="C7:C16" si="0">IF(G7&lt;=7%, "UST, Income", "Equity, Hybrid")</f>
        <v>UST, Income</v>
      </c>
      <c r="D7" s="231">
        <f ca="1">'0+10 Buckets income ladder'!G17</f>
        <v>5531524.1343481941</v>
      </c>
      <c r="E7" s="232">
        <f ca="1">IF(D7&gt;0,'Subjective Stress Reducer'!I7/(SUM(Retirement_Inputs!$B$27:$B$30)),"NA")</f>
        <v>0.37375163069920231</v>
      </c>
      <c r="F7" s="232">
        <f ca="1">IF(D7&gt;0,'Subjective Stress Reducer'!I7/(SUM(Retirement_Inputs!$B$27:$B$30,Retirement_Inputs!$C$34)),"NA")</f>
        <v>0.30565926093121715</v>
      </c>
      <c r="G7" s="233">
        <f>'0+10 Buckets income ladder'!F17</f>
        <v>7.0000000000000007E-2</v>
      </c>
      <c r="I7" s="234">
        <f ca="1">I6+'Subjective Stress Reducer'!D7</f>
        <v>5531524.1343481941</v>
      </c>
    </row>
    <row r="8" spans="1:9" x14ac:dyDescent="0.25">
      <c r="A8" s="47">
        <f>'0+10 Buckets income ladder'!B18</f>
        <v>2</v>
      </c>
      <c r="B8" s="230" t="str">
        <f ca="1">CONCATENATE(VALUE(RIGHT(B7,4))+1," - ",VALUE((RIGHT(B7,4))+'0+10 Buckets income ladder'!C18))</f>
        <v>2030 - 2034</v>
      </c>
      <c r="C8" s="198" t="str">
        <f t="shared" si="0"/>
        <v>UST, Income</v>
      </c>
      <c r="D8" s="231">
        <f ca="1">'0+10 Buckets income ladder'!G18</f>
        <v>14829192.592651863</v>
      </c>
      <c r="E8" s="232">
        <f ca="1">IF(D8&gt;0,'Subjective Stress Reducer'!I8/(SUM(Retirement_Inputs!$B$27:$B$30)),"NA")</f>
        <v>1.3757241031756795</v>
      </c>
      <c r="F8" s="232">
        <f ca="1">IF(D8&gt;0,'Subjective Stress Reducer'!I8/(SUM(Retirement_Inputs!$B$27:$B$30,Retirement_Inputs!$C$34)),"NA")</f>
        <v>1.1250862286146468</v>
      </c>
      <c r="G8" s="233">
        <f>'0+10 Buckets income ladder'!F18</f>
        <v>7.0000000000000007E-2</v>
      </c>
      <c r="I8" s="234">
        <f ca="1">I7+'Subjective Stress Reducer'!D8</f>
        <v>20360716.727000058</v>
      </c>
    </row>
    <row r="9" spans="1:9" x14ac:dyDescent="0.25">
      <c r="A9" s="47">
        <f>'0+10 Buckets income ladder'!B19</f>
        <v>3</v>
      </c>
      <c r="B9" s="230" t="str">
        <f ca="1">CONCATENATE(VALUE(RIGHT(B8,4))+1," - ",VALUE((RIGHT(B8,4))+'0+10 Buckets income ladder'!C19))</f>
        <v>2035 - 2039</v>
      </c>
      <c r="C9" s="198" t="str">
        <f t="shared" si="0"/>
        <v>Equity, Hybrid</v>
      </c>
      <c r="D9" s="231">
        <f ca="1">'0+10 Buckets income ladder'!G19</f>
        <v>3746272.8124623317</v>
      </c>
      <c r="E9" s="232">
        <f ca="1">IF(D9&gt;0,'Subjective Stress Reducer'!I9/(SUM(Retirement_Inputs!$B$27:$B$30)),"NA")</f>
        <v>1.6288506445582693</v>
      </c>
      <c r="F9" s="232">
        <f ca="1">IF(D9&gt;0,'Subjective Stress Reducer'!I9/(SUM(Retirement_Inputs!$B$27:$B$30,Retirement_Inputs!$C$34)),"NA")</f>
        <v>1.3320966205595204</v>
      </c>
      <c r="G9" s="233">
        <f>'0+10 Buckets income ladder'!F19</f>
        <v>0.1</v>
      </c>
      <c r="I9" s="234">
        <f ca="1">I8+'Subjective Stress Reducer'!D9</f>
        <v>24106989.539462388</v>
      </c>
    </row>
    <row r="10" spans="1:9" x14ac:dyDescent="0.25">
      <c r="A10" s="47">
        <f>'0+10 Buckets income ladder'!B20</f>
        <v>4</v>
      </c>
      <c r="B10" s="230" t="str">
        <f ca="1">CONCATENATE(VALUE(RIGHT(B9,4))+1," - ",VALUE((RIGHT(B9,4))+'0+10 Buckets income ladder'!C20))</f>
        <v>2040 - 2044</v>
      </c>
      <c r="C10" s="198" t="str">
        <f t="shared" si="0"/>
        <v>Equity, Hybrid</v>
      </c>
      <c r="D10" s="231">
        <f ca="1">'0+10 Buckets income ladder'!G20</f>
        <v>2149208.0709104352</v>
      </c>
      <c r="E10" s="232">
        <f ca="1">IF(D10&gt;0,'Subjective Stress Reducer'!I10/(SUM(Retirement_Inputs!$B$27:$B$30)),"NA")</f>
        <v>1.7740674061062718</v>
      </c>
      <c r="F10" s="232">
        <f ca="1">IF(D10&gt;0,'Subjective Stress Reducer'!I10/(SUM(Retirement_Inputs!$B$27:$B$30,Retirement_Inputs!$C$34)),"NA")</f>
        <v>1.4508568997496065</v>
      </c>
      <c r="G10" s="233">
        <f>'0+10 Buckets income ladder'!F20</f>
        <v>0.1</v>
      </c>
      <c r="I10" s="234">
        <f ca="1">I9+'Subjective Stress Reducer'!D10</f>
        <v>26256197.610372823</v>
      </c>
    </row>
    <row r="11" spans="1:9" x14ac:dyDescent="0.25">
      <c r="A11" s="47">
        <f>'0+10 Buckets income ladder'!B21</f>
        <v>5</v>
      </c>
      <c r="B11" s="230" t="str">
        <f ca="1">CONCATENATE(VALUE(RIGHT(B10,4))+1," - ",VALUE((RIGHT(B10,4))+'0+10 Buckets income ladder'!C21))</f>
        <v>2045 - 2049</v>
      </c>
      <c r="C11" s="198" t="str">
        <f t="shared" si="0"/>
        <v>Equity, Hybrid</v>
      </c>
      <c r="D11" s="231">
        <f ca="1">'0+10 Buckets income ladder'!G21</f>
        <v>1897981.9605270317</v>
      </c>
      <c r="E11" s="232">
        <f ca="1">IF(D11&gt;0,'Subjective Stress Reducer'!I11/(SUM(Retirement_Inputs!$B$27:$B$30)),"NA")</f>
        <v>1.9023094304662065</v>
      </c>
      <c r="F11" s="232">
        <f ca="1">IF(D11&gt;0,'Subjective Stress Reducer'!I11/(SUM(Retirement_Inputs!$B$27:$B$30,Retirement_Inputs!$C$34)),"NA")</f>
        <v>1.5557350037269717</v>
      </c>
      <c r="G11" s="233">
        <f>'0+10 Buckets income ladder'!F21</f>
        <v>0.1</v>
      </c>
      <c r="I11" s="234">
        <f ca="1">I10+'Subjective Stress Reducer'!D11</f>
        <v>28154179.570899855</v>
      </c>
    </row>
    <row r="12" spans="1:9" x14ac:dyDescent="0.25">
      <c r="A12" s="47">
        <f>'0+10 Buckets income ladder'!B22</f>
        <v>6</v>
      </c>
      <c r="B12" s="230" t="str">
        <f ca="1">CONCATENATE(VALUE(RIGHT(B11,4))+1," - ",VALUE((RIGHT(B11,4))+'0+10 Buckets income ladder'!C22))</f>
        <v>2050 - 2054</v>
      </c>
      <c r="C12" s="198" t="str">
        <f t="shared" si="0"/>
        <v>Equity, Hybrid</v>
      </c>
      <c r="D12" s="231">
        <f ca="1">'0+10 Buckets income ladder'!G22</f>
        <v>1847741.2661425422</v>
      </c>
      <c r="E12" s="232">
        <f ca="1">IF(D12&gt;0,'Subjective Stress Reducer'!I12/(SUM(Retirement_Inputs!$B$27:$B$30)),"NA")</f>
        <v>2.0271568133136757</v>
      </c>
      <c r="F12" s="232">
        <f ca="1">IF(D12&gt;0,'Subjective Stress Reducer'!I12/(SUM(Retirement_Inputs!$B$27:$B$30,Retirement_Inputs!$C$34)),"NA")</f>
        <v>1.6578369228516168</v>
      </c>
      <c r="G12" s="233">
        <f>'0+10 Buckets income ladder'!F22</f>
        <v>0.1</v>
      </c>
      <c r="I12" s="234">
        <f ca="1">I11+'Subjective Stress Reducer'!D12</f>
        <v>30001920.837042399</v>
      </c>
    </row>
    <row r="13" spans="1:9" x14ac:dyDescent="0.25">
      <c r="A13" s="47">
        <f>'0+10 Buckets income ladder'!B23</f>
        <v>7</v>
      </c>
      <c r="B13" s="230" t="str">
        <f ca="1">CONCATENATE(VALUE(RIGHT(B12,4))+1," - ",VALUE((RIGHT(B12,4))+'0+10 Buckets income ladder'!C23))</f>
        <v>2055 - 2059</v>
      </c>
      <c r="C13" s="198" t="str">
        <f t="shared" si="0"/>
        <v>Equity, Hybrid</v>
      </c>
      <c r="D13" s="231">
        <f ca="1">'0+10 Buckets income ladder'!G23</f>
        <v>1652149.0960656123</v>
      </c>
      <c r="E13" s="232">
        <f ca="1">IF(D13&gt;0,'Subjective Stress Reducer'!I13/(SUM(Retirement_Inputs!$B$27:$B$30)),"NA")</f>
        <v>2.1387885089937844</v>
      </c>
      <c r="F13" s="232">
        <f ca="1">IF(D13&gt;0,'Subjective Stress Reducer'!I13/(SUM(Retirement_Inputs!$B$27:$B$30,Retirement_Inputs!$C$34)),"NA")</f>
        <v>1.7491308699422226</v>
      </c>
      <c r="G13" s="233">
        <f>'0+10 Buckets income ladder'!F23</f>
        <v>0.1</v>
      </c>
      <c r="I13" s="234">
        <f ca="1">I12+'Subjective Stress Reducer'!D13</f>
        <v>31654069.933108009</v>
      </c>
    </row>
    <row r="14" spans="1:9" x14ac:dyDescent="0.25">
      <c r="A14" s="47">
        <f>'0+10 Buckets income ladder'!B24</f>
        <v>8</v>
      </c>
      <c r="B14" s="230" t="str">
        <f ca="1">CONCATENATE(VALUE(RIGHT(B13,4))+1," - ",VALUE((RIGHT(B13,4))+'0+10 Buckets income ladder'!C24))</f>
        <v>2060 - 2064</v>
      </c>
      <c r="C14" s="198" t="str">
        <f t="shared" si="0"/>
        <v>Equity, Hybrid</v>
      </c>
      <c r="D14" s="231">
        <f ca="1">'0+10 Buckets income ladder'!G24</f>
        <v>1536311.7614386179</v>
      </c>
      <c r="E14" s="232">
        <f ca="1">IF(D14&gt;0,'Subjective Stress Reducer'!I14/(SUM(Retirement_Inputs!$B$27:$B$30)),"NA")</f>
        <v>2.2425933577396369</v>
      </c>
      <c r="F14" s="232">
        <f ca="1">IF(D14&gt;0,'Subjective Stress Reducer'!I14/(SUM(Retirement_Inputs!$B$27:$B$30,Retirement_Inputs!$C$34)),"NA")</f>
        <v>1.8340239131896237</v>
      </c>
      <c r="G14" s="233">
        <f>'0+10 Buckets income ladder'!F24</f>
        <v>0.1</v>
      </c>
      <c r="I14" s="234">
        <f ca="1">I13+'Subjective Stress Reducer'!D14</f>
        <v>33190381.694546629</v>
      </c>
    </row>
    <row r="15" spans="1:9" x14ac:dyDescent="0.25">
      <c r="A15" s="47">
        <f>'0+10 Buckets income ladder'!B25</f>
        <v>9</v>
      </c>
      <c r="B15" s="230" t="str">
        <f ca="1">CONCATENATE(VALUE(RIGHT(B14,4))+1," - ",VALUE((RIGHT(B14,4))+'0+10 Buckets income ladder'!C25))</f>
        <v>2065 - 2069</v>
      </c>
      <c r="C15" s="198" t="str">
        <f t="shared" si="0"/>
        <v>Equity, Hybrid</v>
      </c>
      <c r="D15" s="231">
        <f ca="1">ROUND('0+10 Buckets income ladder'!G25,1)</f>
        <v>1416721.1</v>
      </c>
      <c r="E15" s="232">
        <f ca="1">IF(D15&gt;0,'Subjective Stress Reducer'!I15/(SUM(Retirement_Inputs!$B$27:$B$30)),"NA")</f>
        <v>2.3383177563882858</v>
      </c>
      <c r="F15" s="232">
        <f ca="1">IF(D15&gt;0,'Subjective Stress Reducer'!I15/(SUM(Retirement_Inputs!$B$27:$B$30,Retirement_Inputs!$C$34)),"NA")</f>
        <v>1.912308652414157</v>
      </c>
      <c r="G15" s="233">
        <f>'0+10 Buckets income ladder'!F25</f>
        <v>0.1</v>
      </c>
      <c r="I15" s="234">
        <f ca="1">I14+'Subjective Stress Reducer'!D15</f>
        <v>34607102.794546627</v>
      </c>
    </row>
    <row r="16" spans="1:9" x14ac:dyDescent="0.25">
      <c r="A16" s="47">
        <f>'0+10 Buckets income ladder'!B26</f>
        <v>10</v>
      </c>
      <c r="B16" s="230" t="str">
        <f ca="1">CONCATENATE(VALUE(RIGHT(B15,4))+1," - end")</f>
        <v>2070 - end</v>
      </c>
      <c r="C16" s="198" t="str">
        <f t="shared" si="0"/>
        <v>Equity, Hybrid</v>
      </c>
      <c r="D16" s="231">
        <f ca="1">'0+10 Buckets income ladder'!G26</f>
        <v>772307.67834507418</v>
      </c>
      <c r="E16" s="232">
        <f ca="1">IF(D16&gt;0,'Subjective Stress Reducer'!I16/(SUM(Retirement_Inputs!$B$27:$B$30)),"NA")</f>
        <v>2.390500707627818</v>
      </c>
      <c r="F16" s="232">
        <f ca="1">IF(D16&gt;0,'Subjective Stress Reducer'!I16/(SUM(Retirement_Inputs!$B$27:$B$30,Retirement_Inputs!$C$34)),"NA")</f>
        <v>1.9549845927953295</v>
      </c>
      <c r="G16" s="233">
        <f>'0+10 Buckets income ladder'!F26</f>
        <v>0.1</v>
      </c>
      <c r="I16" s="234">
        <f ca="1">I15+'Subjective Stress Reducer'!D16</f>
        <v>35379410.472891703</v>
      </c>
    </row>
    <row r="17" spans="2:9" x14ac:dyDescent="0.25">
      <c r="B17" s="82"/>
      <c r="C17" s="198"/>
      <c r="D17" s="80"/>
      <c r="G17" s="80"/>
      <c r="H17" s="80"/>
      <c r="I17" s="229"/>
    </row>
    <row r="18" spans="2:9" x14ac:dyDescent="0.25">
      <c r="B18" s="82"/>
      <c r="C18" s="80"/>
      <c r="D18" s="80"/>
      <c r="E18" s="80"/>
      <c r="F18" s="80"/>
      <c r="G18" s="80"/>
      <c r="H18" s="80"/>
      <c r="I18" s="229"/>
    </row>
    <row r="19" spans="2:9" x14ac:dyDescent="0.25">
      <c r="B19" s="82"/>
      <c r="C19" s="80" t="s">
        <v>238</v>
      </c>
      <c r="D19" s="80"/>
      <c r="E19" s="80"/>
      <c r="F19" s="80"/>
      <c r="G19" s="80"/>
      <c r="H19" s="80"/>
      <c r="I19" s="229"/>
    </row>
    <row r="20" spans="2:9" x14ac:dyDescent="0.25">
      <c r="C20" t="s">
        <v>239</v>
      </c>
      <c r="I20" s="229"/>
    </row>
    <row r="21" spans="2:9" x14ac:dyDescent="0.25">
      <c r="I21" s="229"/>
    </row>
    <row r="22" spans="2:9" x14ac:dyDescent="0.25">
      <c r="I22" s="229"/>
    </row>
    <row r="23" spans="2:9" x14ac:dyDescent="0.25">
      <c r="I23" s="229"/>
    </row>
  </sheetData>
  <conditionalFormatting sqref="E6:F6">
    <cfRule type="iconSet" priority="9">
      <iconSet iconSet="3Symbols2" showValue="0" reverse="1">
        <cfvo type="percent" val="0"/>
        <cfvo type="num" val="0.95"/>
        <cfvo type="num" val="1.02"/>
      </iconSet>
    </cfRule>
  </conditionalFormatting>
  <conditionalFormatting sqref="E7">
    <cfRule type="iconSet" priority="4">
      <iconSet iconSet="3Symbols2" showValue="0" reverse="1">
        <cfvo type="percent" val="0"/>
        <cfvo type="num" val="0.95"/>
        <cfvo type="num" val="1.02"/>
      </iconSet>
    </cfRule>
  </conditionalFormatting>
  <conditionalFormatting sqref="E8:E16">
    <cfRule type="iconSet" priority="2">
      <iconSet iconSet="3Symbols2" showValue="0" reverse="1">
        <cfvo type="percent" val="0"/>
        <cfvo type="num" val="0.95"/>
        <cfvo type="num" val="1.02"/>
      </iconSet>
    </cfRule>
  </conditionalFormatting>
  <conditionalFormatting sqref="F7:F16">
    <cfRule type="iconSet" priority="1">
      <iconSet iconSet="3Symbols2" showValue="0" reverse="1">
        <cfvo type="percent" val="0"/>
        <cfvo type="num" val="0.95"/>
        <cfvo type="num" val="1.02"/>
      </iconSet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48"/>
  <sheetViews>
    <sheetView topLeftCell="B1" zoomScaleNormal="100" workbookViewId="0">
      <selection activeCell="G17" sqref="G17:G18"/>
    </sheetView>
  </sheetViews>
  <sheetFormatPr defaultColWidth="8.85546875" defaultRowHeight="15" x14ac:dyDescent="0.25"/>
  <cols>
    <col min="1" max="1" width="47.28515625" customWidth="1"/>
    <col min="2" max="2" width="8.85546875" style="47" bestFit="1" customWidth="1"/>
    <col min="3" max="3" width="7.140625" bestFit="1" customWidth="1"/>
    <col min="4" max="4" width="19.28515625" style="20" bestFit="1" customWidth="1"/>
    <col min="5" max="5" width="17.28515625" bestFit="1" customWidth="1"/>
    <col min="6" max="6" width="21" style="20" bestFit="1" customWidth="1"/>
    <col min="7" max="7" width="17.28515625" bestFit="1" customWidth="1"/>
    <col min="8" max="8" width="1.85546875" style="45" customWidth="1"/>
    <col min="9" max="9" width="1.7109375" style="61" customWidth="1"/>
    <col min="10" max="10" width="6.85546875" hidden="1" customWidth="1"/>
    <col min="11" max="11" width="10.85546875" style="45" bestFit="1" customWidth="1"/>
    <col min="12" max="12" width="15.7109375" style="45" customWidth="1"/>
    <col min="13" max="13" width="13.5703125" style="47" bestFit="1" customWidth="1"/>
    <col min="14" max="14" width="1.7109375" style="61" customWidth="1"/>
    <col min="15" max="15" width="6.85546875" hidden="1" customWidth="1"/>
    <col min="16" max="16" width="10.85546875" style="45" bestFit="1" customWidth="1"/>
    <col min="17" max="17" width="15.7109375" style="45" customWidth="1"/>
    <col min="18" max="18" width="12.140625" style="47" customWidth="1"/>
    <col min="19" max="19" width="1.7109375" style="61" customWidth="1"/>
    <col min="20" max="20" width="6.85546875" hidden="1" customWidth="1"/>
    <col min="21" max="21" width="10.85546875" style="45" bestFit="1" customWidth="1"/>
    <col min="22" max="22" width="15.42578125" style="45" customWidth="1"/>
    <col min="23" max="23" width="16" style="47" bestFit="1" customWidth="1"/>
    <col min="24" max="24" width="1.7109375" style="61" customWidth="1"/>
    <col min="25" max="25" width="6.85546875" hidden="1" customWidth="1"/>
    <col min="26" max="26" width="10.85546875" style="45" bestFit="1" customWidth="1"/>
    <col min="27" max="27" width="15.85546875" style="45" customWidth="1"/>
    <col min="28" max="28" width="16" style="47" bestFit="1" customWidth="1"/>
    <col min="29" max="29" width="1.7109375" style="61" customWidth="1"/>
    <col min="30" max="30" width="6.85546875" hidden="1" customWidth="1"/>
    <col min="31" max="31" width="10.85546875" style="45" bestFit="1" customWidth="1"/>
    <col min="32" max="32" width="11.28515625" style="45" bestFit="1" customWidth="1"/>
    <col min="33" max="33" width="16" style="47" bestFit="1" customWidth="1"/>
    <col min="34" max="34" width="1.7109375" style="61" customWidth="1"/>
    <col min="35" max="35" width="16.7109375" hidden="1" customWidth="1"/>
    <col min="36" max="36" width="12.28515625" style="45" customWidth="1"/>
    <col min="37" max="37" width="13.7109375" style="45" customWidth="1"/>
    <col min="38" max="38" width="14.85546875" style="47" customWidth="1"/>
    <col min="39" max="39" width="1.7109375" style="61" customWidth="1"/>
    <col min="40" max="40" width="26.7109375" hidden="1" customWidth="1"/>
    <col min="41" max="41" width="5.7109375" bestFit="1" customWidth="1"/>
    <col min="42" max="42" width="21" customWidth="1"/>
    <col min="43" max="43" width="12.42578125" bestFit="1" customWidth="1"/>
    <col min="44" max="44" width="1.7109375" customWidth="1"/>
    <col min="45" max="45" width="4.5703125" hidden="1" customWidth="1"/>
    <col min="46" max="46" width="5.7109375" bestFit="1" customWidth="1"/>
    <col min="47" max="47" width="21" customWidth="1"/>
    <col min="48" max="48" width="12.42578125" bestFit="1" customWidth="1"/>
    <col min="49" max="49" width="1.7109375" customWidth="1"/>
    <col min="50" max="50" width="8.85546875" hidden="1" customWidth="1"/>
    <col min="52" max="52" width="12.140625" customWidth="1"/>
    <col min="53" max="53" width="13.5703125" customWidth="1"/>
    <col min="54" max="54" width="2.5703125" customWidth="1"/>
    <col min="55" max="55" width="5.28515625" hidden="1" customWidth="1"/>
    <col min="57" max="57" width="10.7109375" customWidth="1"/>
    <col min="58" max="58" width="13.5703125" bestFit="1" customWidth="1"/>
    <col min="59" max="59" width="3" customWidth="1"/>
    <col min="60" max="60" width="3.85546875" hidden="1" customWidth="1"/>
    <col min="62" max="62" width="11.5703125" customWidth="1"/>
    <col min="63" max="63" width="13.5703125" bestFit="1" customWidth="1"/>
  </cols>
  <sheetData>
    <row r="1" spans="1:63" ht="15.75" thickBot="1" x14ac:dyDescent="0.3">
      <c r="A1" s="298" t="s">
        <v>237</v>
      </c>
      <c r="B1" s="298"/>
      <c r="C1" s="298"/>
      <c r="D1" s="298"/>
      <c r="E1" s="298"/>
      <c r="F1" s="298"/>
      <c r="G1" s="298"/>
    </row>
    <row r="2" spans="1:63" ht="15.75" thickBot="1" x14ac:dyDescent="0.3">
      <c r="A2" s="69" t="s">
        <v>195</v>
      </c>
      <c r="B2" s="70"/>
      <c r="C2" s="23"/>
      <c r="D2" s="70"/>
      <c r="E2" s="23"/>
      <c r="F2" s="70"/>
      <c r="G2" s="71"/>
      <c r="H2" s="24"/>
      <c r="I2" s="25"/>
      <c r="J2" s="293" t="s">
        <v>40</v>
      </c>
      <c r="K2" s="294"/>
      <c r="L2" s="294"/>
      <c r="M2" s="295"/>
      <c r="N2" s="25"/>
      <c r="O2" s="293" t="s">
        <v>41</v>
      </c>
      <c r="P2" s="294"/>
      <c r="Q2" s="294"/>
      <c r="R2" s="295"/>
      <c r="S2" s="25"/>
      <c r="U2" s="293" t="s">
        <v>42</v>
      </c>
      <c r="V2" s="294"/>
      <c r="W2" s="295"/>
      <c r="X2" s="25"/>
      <c r="Z2" s="293" t="s">
        <v>43</v>
      </c>
      <c r="AA2" s="294"/>
      <c r="AB2" s="295"/>
      <c r="AC2" s="25"/>
      <c r="AD2" s="293" t="s">
        <v>44</v>
      </c>
      <c r="AE2" s="294"/>
      <c r="AF2" s="294"/>
      <c r="AG2" s="295"/>
      <c r="AH2" s="25"/>
      <c r="AJ2" s="293" t="s">
        <v>45</v>
      </c>
      <c r="AK2" s="294"/>
      <c r="AL2" s="295"/>
      <c r="AM2" s="25"/>
      <c r="AO2" s="293" t="s">
        <v>46</v>
      </c>
      <c r="AP2" s="294"/>
      <c r="AQ2" s="295"/>
      <c r="AR2" s="25"/>
      <c r="AT2" s="293" t="s">
        <v>160</v>
      </c>
      <c r="AU2" s="294"/>
      <c r="AV2" s="295"/>
      <c r="AW2" s="25"/>
      <c r="AY2" s="293" t="s">
        <v>161</v>
      </c>
      <c r="AZ2" s="294"/>
      <c r="BA2" s="295"/>
      <c r="BB2" s="25"/>
      <c r="BD2" s="293" t="s">
        <v>163</v>
      </c>
      <c r="BE2" s="294"/>
      <c r="BF2" s="295"/>
      <c r="BG2" s="25"/>
      <c r="BI2" s="293" t="s">
        <v>164</v>
      </c>
      <c r="BJ2" s="294"/>
      <c r="BK2" s="295"/>
    </row>
    <row r="3" spans="1:63" x14ac:dyDescent="0.25">
      <c r="A3" s="72" t="s">
        <v>55</v>
      </c>
      <c r="B3" s="20"/>
      <c r="C3" s="1"/>
      <c r="E3" s="1"/>
      <c r="G3" s="73"/>
      <c r="H3" s="24"/>
      <c r="I3" s="27"/>
      <c r="K3" s="28" t="s">
        <v>13</v>
      </c>
      <c r="L3" s="29"/>
      <c r="M3" s="30">
        <f>IF(C16&gt;time,time,C16)</f>
        <v>5</v>
      </c>
      <c r="N3" s="27"/>
      <c r="P3" s="31" t="s">
        <v>13</v>
      </c>
      <c r="Q3" s="29"/>
      <c r="R3" s="30">
        <f>IF(MAX(K10:K39)&gt;=time,0,IF(time-MAX(K10:K39)&lt;C17,time-MAX(K10:K39),C17))</f>
        <v>5</v>
      </c>
      <c r="S3" s="27"/>
      <c r="U3" s="31" t="s">
        <v>13</v>
      </c>
      <c r="V3" s="29"/>
      <c r="W3" s="30">
        <f>IF(MAX(P10:P39)&gt;=time,0,IF(time-MAX(P10:P39)&lt;C18,time-MAX(P10:P39),C18))</f>
        <v>5</v>
      </c>
      <c r="X3" s="27"/>
      <c r="Z3" s="31" t="s">
        <v>13</v>
      </c>
      <c r="AA3" s="29"/>
      <c r="AB3" s="30">
        <f>IF(MAX(U10:U39)&gt;=time,0,IF(time-MAX(U10:U39)&lt;C19,time-MAX(U10:U39),C19))</f>
        <v>5</v>
      </c>
      <c r="AC3" s="27"/>
      <c r="AD3" s="31" t="s">
        <v>13</v>
      </c>
      <c r="AE3" s="31" t="s">
        <v>13</v>
      </c>
      <c r="AF3" s="29"/>
      <c r="AG3" s="30">
        <f>IF(MAX(Z10:Z39)&gt;=time,0,IF(time-MAX(Z10:Z39)&lt;C20,time-MAX(Z10:Z39),C20))</f>
        <v>5</v>
      </c>
      <c r="AH3" s="27"/>
      <c r="AJ3" s="31" t="s">
        <v>13</v>
      </c>
      <c r="AK3" s="29"/>
      <c r="AL3" s="30">
        <f>IF(MAX(AE10:AE39)&gt;=time,0,IF(time-MAX(AE10:AE39)&lt;C21,time-MAX(AE10:AE39),C21))</f>
        <v>5</v>
      </c>
      <c r="AM3" s="27"/>
      <c r="AO3" s="31" t="s">
        <v>13</v>
      </c>
      <c r="AP3" s="29"/>
      <c r="AQ3" s="30">
        <f>IF(MAX(AJ10:AJ39)&gt;=time,0,IF(time-MAX(AJ10:AJ39)&lt;C22,time-MAX(AJ10:AJ39),C22))</f>
        <v>5</v>
      </c>
      <c r="AR3" s="27"/>
      <c r="AT3" s="31" t="s">
        <v>13</v>
      </c>
      <c r="AU3" s="29"/>
      <c r="AV3" s="30">
        <f>IF(MAX(AO10:AO39)&gt;=time,0,IF(time-MAX(AO10:AO39)&lt;C23,time-MAX(AO10:AO39),C23))</f>
        <v>5</v>
      </c>
      <c r="AW3" s="27"/>
      <c r="AY3" s="31" t="s">
        <v>13</v>
      </c>
      <c r="AZ3" s="29"/>
      <c r="BA3" s="30">
        <f>IF(MAX(AT10:AT39)&gt;=time,0,IF(time-MAX(AT10:AT39)&lt;C24,time-MAX(AT10:AT39),C24))</f>
        <v>5</v>
      </c>
      <c r="BB3" s="27"/>
      <c r="BD3" s="31" t="s">
        <v>13</v>
      </c>
      <c r="BE3" s="29"/>
      <c r="BF3" s="30">
        <f>IF(MAX(AY10:AY39)&gt;=time,0,IF(time-MAX(AY10:AY39)&lt;H24,time-MAX(AY10:AY39),C25))</f>
        <v>5</v>
      </c>
      <c r="BG3" s="27"/>
      <c r="BI3" s="31" t="s">
        <v>13</v>
      </c>
      <c r="BJ3" s="29"/>
      <c r="BK3" s="30">
        <f>IF(MAX(BD10:BD39)&gt;=time,0,IF(time-MAX(BD10:BD39)&lt;M24,time-MAX(BD10:BD39),C26))</f>
        <v>3</v>
      </c>
    </row>
    <row r="4" spans="1:63" ht="15.75" thickBot="1" x14ac:dyDescent="0.3">
      <c r="A4" s="74" t="s">
        <v>196</v>
      </c>
      <c r="B4" s="75"/>
      <c r="C4" s="76"/>
      <c r="D4" s="75"/>
      <c r="E4" s="76"/>
      <c r="F4" s="75"/>
      <c r="G4" s="77"/>
      <c r="H4" s="24"/>
      <c r="I4" s="25"/>
      <c r="K4" s="32" t="s">
        <v>10</v>
      </c>
      <c r="L4" s="33"/>
      <c r="M4" s="9">
        <f>D16</f>
        <v>0.05</v>
      </c>
      <c r="N4" s="25"/>
      <c r="P4" s="33" t="s">
        <v>9</v>
      </c>
      <c r="Q4" s="33"/>
      <c r="R4" s="9">
        <f>D17</f>
        <v>0.05</v>
      </c>
      <c r="S4" s="25"/>
      <c r="U4" s="33" t="s">
        <v>15</v>
      </c>
      <c r="V4" s="33"/>
      <c r="W4" s="9">
        <f>D18</f>
        <v>0.05</v>
      </c>
      <c r="X4" s="25"/>
      <c r="Z4" s="33" t="s">
        <v>16</v>
      </c>
      <c r="AA4" s="33"/>
      <c r="AB4" s="9">
        <f>D19</f>
        <v>0.05</v>
      </c>
      <c r="AC4" s="25"/>
      <c r="AD4" s="33" t="s">
        <v>17</v>
      </c>
      <c r="AE4" s="33" t="s">
        <v>17</v>
      </c>
      <c r="AF4" s="33"/>
      <c r="AG4" s="9">
        <f>D20</f>
        <v>0.05</v>
      </c>
      <c r="AH4" s="25"/>
      <c r="AJ4" s="33" t="s">
        <v>18</v>
      </c>
      <c r="AK4" s="33"/>
      <c r="AL4" s="9">
        <f>D21</f>
        <v>0.05</v>
      </c>
      <c r="AM4" s="25"/>
      <c r="AO4" s="33" t="s">
        <v>19</v>
      </c>
      <c r="AP4" s="33"/>
      <c r="AQ4" s="9">
        <f>D22</f>
        <v>0.05</v>
      </c>
      <c r="AR4" s="25"/>
      <c r="AT4" s="33" t="s">
        <v>19</v>
      </c>
      <c r="AU4" s="33"/>
      <c r="AV4" s="9">
        <f>D23</f>
        <v>0.05</v>
      </c>
      <c r="AW4" s="25"/>
      <c r="AY4" s="33" t="s">
        <v>19</v>
      </c>
      <c r="AZ4" s="33"/>
      <c r="BA4" s="9">
        <f>D24</f>
        <v>0.05</v>
      </c>
      <c r="BB4" s="25"/>
      <c r="BD4" s="33" t="s">
        <v>19</v>
      </c>
      <c r="BE4" s="33"/>
      <c r="BF4" s="9">
        <f>D25</f>
        <v>0.05</v>
      </c>
      <c r="BG4" s="25"/>
      <c r="BI4" s="33" t="s">
        <v>19</v>
      </c>
      <c r="BJ4" s="33"/>
      <c r="BK4" s="9">
        <f>D26</f>
        <v>0.05</v>
      </c>
    </row>
    <row r="5" spans="1:63" ht="15.75" thickBot="1" x14ac:dyDescent="0.3">
      <c r="A5" s="67" t="s">
        <v>47</v>
      </c>
      <c r="B5" s="68"/>
      <c r="C5" s="1"/>
      <c r="E5" s="1"/>
      <c r="G5" s="1"/>
      <c r="H5" s="24"/>
      <c r="I5" s="25"/>
      <c r="K5" s="36" t="s">
        <v>12</v>
      </c>
      <c r="L5" s="37"/>
      <c r="M5" s="133">
        <f>SUM(M10:M39)</f>
        <v>0</v>
      </c>
      <c r="N5" s="25"/>
      <c r="P5" s="38" t="s">
        <v>12</v>
      </c>
      <c r="Q5" s="37"/>
      <c r="R5" s="133">
        <f ca="1">SUM(R10:R39)</f>
        <v>7758248.7480388805</v>
      </c>
      <c r="S5" s="25"/>
      <c r="U5" s="38" t="s">
        <v>12</v>
      </c>
      <c r="V5" s="37"/>
      <c r="W5" s="133">
        <f ca="1">SUM(W10:W39)</f>
        <v>29171266.336143482</v>
      </c>
      <c r="X5" s="25"/>
      <c r="Z5" s="38" t="s">
        <v>12</v>
      </c>
      <c r="AA5" s="37"/>
      <c r="AB5" s="133">
        <f ca="1">SUM(AB10:AB39)</f>
        <v>15649111.247989913</v>
      </c>
      <c r="AC5" s="25"/>
      <c r="AD5" s="38" t="s">
        <v>12</v>
      </c>
      <c r="AE5" s="38" t="s">
        <v>12</v>
      </c>
      <c r="AF5" s="37"/>
      <c r="AG5" s="133">
        <f ca="1">SUM(AG10:AG39)</f>
        <v>14458797.188140143</v>
      </c>
      <c r="AH5" s="25"/>
      <c r="AJ5" s="38" t="s">
        <v>12</v>
      </c>
      <c r="AK5" s="37"/>
      <c r="AL5" s="133">
        <f ca="1">SUM(AL10:AL39)</f>
        <v>20564076.428166181</v>
      </c>
      <c r="AM5" s="25"/>
      <c r="AO5" s="38" t="s">
        <v>12</v>
      </c>
      <c r="AP5" s="37"/>
      <c r="AQ5" s="133">
        <f ca="1">SUM(AQ10:AQ39)</f>
        <v>32241980.641742788</v>
      </c>
      <c r="AR5" s="25"/>
      <c r="AT5" s="38" t="s">
        <v>12</v>
      </c>
      <c r="AU5" s="37"/>
      <c r="AV5" s="133">
        <f ca="1">SUM(AV10:AV39)</f>
        <v>46429415.635770418</v>
      </c>
      <c r="AW5" s="25"/>
      <c r="AY5" s="38" t="s">
        <v>12</v>
      </c>
      <c r="AZ5" s="37"/>
      <c r="BA5" s="133">
        <f ca="1">SUM(BA10:BA39)</f>
        <v>69532326.643345162</v>
      </c>
      <c r="BB5" s="25"/>
      <c r="BD5" s="38" t="s">
        <v>12</v>
      </c>
      <c r="BE5" s="37"/>
      <c r="BF5" s="133">
        <f ca="1">SUM(BF10:BF39)</f>
        <v>103265485.638272</v>
      </c>
      <c r="BG5" s="25"/>
      <c r="BI5" s="38" t="s">
        <v>12</v>
      </c>
      <c r="BJ5" s="37"/>
      <c r="BK5" s="133">
        <f ca="1">SUM(BK10:BK39)</f>
        <v>90661857.046465963</v>
      </c>
    </row>
    <row r="6" spans="1:63" ht="15" customHeight="1" x14ac:dyDescent="0.25">
      <c r="A6" s="26" t="s">
        <v>4</v>
      </c>
      <c r="B6" s="112">
        <f>Retirement_Inputs!B3*12</f>
        <v>600000</v>
      </c>
      <c r="C6" s="1"/>
      <c r="D6" s="296" t="s">
        <v>173</v>
      </c>
      <c r="E6" s="296"/>
      <c r="F6" s="134">
        <f>B6*(1+B9)^(B7)</f>
        <v>1110558.1261691293</v>
      </c>
      <c r="G6" s="1"/>
      <c r="H6" s="24"/>
      <c r="I6" s="25"/>
      <c r="K6" s="36" t="s">
        <v>14</v>
      </c>
      <c r="L6" s="37"/>
      <c r="M6" s="133">
        <f>M5</f>
        <v>0</v>
      </c>
      <c r="N6" s="25"/>
      <c r="P6" s="38" t="s">
        <v>14</v>
      </c>
      <c r="Q6" s="37"/>
      <c r="R6" s="133">
        <f ca="1">R5/(1+b1r)^(MAX(K10:K39))</f>
        <v>5531524.1343481941</v>
      </c>
      <c r="S6" s="25"/>
      <c r="U6" s="38" t="s">
        <v>14</v>
      </c>
      <c r="V6" s="37"/>
      <c r="W6" s="133">
        <f ca="1">W5/(1+b2r)^(MAX(P10:P39))</f>
        <v>14829192.592651863</v>
      </c>
      <c r="X6" s="25"/>
      <c r="Z6" s="38" t="s">
        <v>14</v>
      </c>
      <c r="AA6" s="37"/>
      <c r="AB6" s="133">
        <f ca="1">AB5/(1+b3r)^(MAX(U10:U39))</f>
        <v>3746272.8124623317</v>
      </c>
      <c r="AC6" s="25"/>
      <c r="AD6" s="38" t="s">
        <v>14</v>
      </c>
      <c r="AE6" s="38" t="s">
        <v>14</v>
      </c>
      <c r="AF6" s="37"/>
      <c r="AG6" s="133">
        <f ca="1">AG5/(1+b4r)^(MAX(Z10:Z39))</f>
        <v>2149208.0709104352</v>
      </c>
      <c r="AH6" s="25"/>
      <c r="AJ6" s="38" t="s">
        <v>14</v>
      </c>
      <c r="AK6" s="37"/>
      <c r="AL6" s="133">
        <f ca="1">AL5/(1+b5r)^(MAX(AE10:AE39))</f>
        <v>1897981.9605270317</v>
      </c>
      <c r="AM6" s="25"/>
      <c r="AO6" s="38" t="s">
        <v>14</v>
      </c>
      <c r="AP6" s="37"/>
      <c r="AQ6" s="133">
        <f ca="1">AQ5/(1+b6r)^(MAX(AJ10:AJ39))</f>
        <v>1847741.2661425422</v>
      </c>
      <c r="AR6" s="25"/>
      <c r="AT6" s="38" t="s">
        <v>14</v>
      </c>
      <c r="AU6" s="37"/>
      <c r="AV6" s="133">
        <f ca="1">AV5/(1+AV7)^(MAX(AO10:AO39))</f>
        <v>1652149.0960656123</v>
      </c>
      <c r="AW6" s="25"/>
      <c r="AY6" s="38" t="s">
        <v>14</v>
      </c>
      <c r="AZ6" s="37"/>
      <c r="BA6" s="133">
        <f ca="1">BA5/(1+BA7)^(MAX(AT10:AT39))</f>
        <v>1536311.7614386179</v>
      </c>
      <c r="BB6" s="25"/>
      <c r="BD6" s="38" t="s">
        <v>14</v>
      </c>
      <c r="BE6" s="37"/>
      <c r="BF6" s="133">
        <f ca="1">BF5/(1+BF7)^(MAX(AY10:AY39))</f>
        <v>1416721.0919383226</v>
      </c>
      <c r="BG6" s="25"/>
      <c r="BI6" s="38" t="s">
        <v>14</v>
      </c>
      <c r="BJ6" s="37"/>
      <c r="BK6" s="133">
        <f ca="1">BK5/(1+BK7)^(MAX(BD10:BD39))</f>
        <v>772307.67834507418</v>
      </c>
    </row>
    <row r="7" spans="1:63" x14ac:dyDescent="0.25">
      <c r="A7" s="26" t="s">
        <v>7</v>
      </c>
      <c r="B7" s="35">
        <f>Retirement_Inputs!B11</f>
        <v>8</v>
      </c>
      <c r="C7" s="1"/>
      <c r="D7" s="297"/>
      <c r="E7" s="297"/>
      <c r="G7" s="1"/>
      <c r="H7" s="24"/>
      <c r="I7" s="25"/>
      <c r="K7" s="36" t="s">
        <v>20</v>
      </c>
      <c r="L7" s="37"/>
      <c r="M7" s="39" t="s">
        <v>11</v>
      </c>
      <c r="N7" s="25"/>
      <c r="P7" s="38" t="s">
        <v>20</v>
      </c>
      <c r="Q7" s="37"/>
      <c r="R7" s="11">
        <f>F17</f>
        <v>7.0000000000000007E-2</v>
      </c>
      <c r="S7" s="25"/>
      <c r="U7" s="38" t="s">
        <v>20</v>
      </c>
      <c r="V7" s="37"/>
      <c r="W7" s="10">
        <f>F18</f>
        <v>7.0000000000000007E-2</v>
      </c>
      <c r="X7" s="25"/>
      <c r="Z7" s="38" t="s">
        <v>20</v>
      </c>
      <c r="AA7" s="37"/>
      <c r="AB7" s="10">
        <f>F19</f>
        <v>0.1</v>
      </c>
      <c r="AC7" s="25"/>
      <c r="AD7" s="38" t="s">
        <v>20</v>
      </c>
      <c r="AE7" s="38" t="s">
        <v>20</v>
      </c>
      <c r="AF7" s="37"/>
      <c r="AG7" s="10">
        <f>F20</f>
        <v>0.1</v>
      </c>
      <c r="AH7" s="25"/>
      <c r="AJ7" s="38" t="s">
        <v>20</v>
      </c>
      <c r="AK7" s="37"/>
      <c r="AL7" s="10">
        <f>F21</f>
        <v>0.1</v>
      </c>
      <c r="AM7" s="25"/>
      <c r="AO7" s="38" t="s">
        <v>20</v>
      </c>
      <c r="AP7" s="37"/>
      <c r="AQ7" s="10">
        <f>F22</f>
        <v>0.1</v>
      </c>
      <c r="AR7" s="25"/>
      <c r="AT7" s="38" t="s">
        <v>20</v>
      </c>
      <c r="AU7" s="37"/>
      <c r="AV7" s="10">
        <f>F23</f>
        <v>0.1</v>
      </c>
      <c r="AW7" s="25"/>
      <c r="AY7" s="38" t="s">
        <v>20</v>
      </c>
      <c r="AZ7" s="37"/>
      <c r="BA7" s="10">
        <f>F24</f>
        <v>0.1</v>
      </c>
      <c r="BB7" s="25"/>
      <c r="BD7" s="38" t="s">
        <v>20</v>
      </c>
      <c r="BE7" s="37"/>
      <c r="BF7" s="10">
        <f>F25</f>
        <v>0.1</v>
      </c>
      <c r="BG7" s="25"/>
      <c r="BI7" s="38" t="s">
        <v>20</v>
      </c>
      <c r="BJ7" s="37"/>
      <c r="BK7" s="10">
        <f>F26</f>
        <v>0.1</v>
      </c>
    </row>
    <row r="8" spans="1:63" x14ac:dyDescent="0.25">
      <c r="A8" s="34" t="s">
        <v>8</v>
      </c>
      <c r="B8" s="35"/>
      <c r="C8" s="1"/>
      <c r="E8" s="1"/>
      <c r="G8" s="1"/>
      <c r="H8" s="24"/>
      <c r="I8" s="25"/>
      <c r="J8" s="40"/>
      <c r="K8" s="41"/>
      <c r="L8" s="2" t="s">
        <v>0</v>
      </c>
      <c r="M8" s="3"/>
      <c r="N8" s="25"/>
      <c r="O8" s="41"/>
      <c r="P8" s="41"/>
      <c r="Q8" s="2" t="s">
        <v>0</v>
      </c>
      <c r="R8" s="3"/>
      <c r="S8" s="25"/>
      <c r="T8" s="41"/>
      <c r="U8" s="41"/>
      <c r="V8" s="2" t="s">
        <v>0</v>
      </c>
      <c r="W8" s="3"/>
      <c r="X8" s="25"/>
      <c r="Y8" s="41"/>
      <c r="Z8" s="41"/>
      <c r="AA8" s="2" t="s">
        <v>0</v>
      </c>
      <c r="AB8" s="3"/>
      <c r="AC8" s="25"/>
      <c r="AD8" s="41"/>
      <c r="AE8" s="41"/>
      <c r="AF8" s="2" t="s">
        <v>0</v>
      </c>
      <c r="AG8" s="3"/>
      <c r="AH8" s="25"/>
      <c r="AI8" s="41"/>
      <c r="AJ8" s="41"/>
      <c r="AK8" s="2" t="s">
        <v>0</v>
      </c>
      <c r="AL8" s="3"/>
      <c r="AM8" s="25"/>
      <c r="AN8" s="41"/>
      <c r="AO8" s="41"/>
      <c r="AP8" s="2" t="s">
        <v>0</v>
      </c>
      <c r="AQ8" s="3"/>
      <c r="AR8" s="25"/>
      <c r="AS8" s="41"/>
      <c r="AT8" s="41"/>
      <c r="AU8" s="2" t="s">
        <v>0</v>
      </c>
      <c r="AV8" s="3"/>
      <c r="AW8" s="25"/>
      <c r="AX8" s="41"/>
      <c r="AY8" s="41"/>
      <c r="AZ8" s="2" t="s">
        <v>0</v>
      </c>
      <c r="BA8" s="3"/>
      <c r="BB8" s="25"/>
      <c r="BC8" s="41"/>
      <c r="BD8" s="41"/>
      <c r="BE8" s="2" t="s">
        <v>0</v>
      </c>
      <c r="BF8" s="3"/>
      <c r="BG8" s="25"/>
      <c r="BH8" s="41"/>
      <c r="BI8" s="41"/>
      <c r="BJ8" s="2" t="s">
        <v>0</v>
      </c>
      <c r="BK8" s="3"/>
    </row>
    <row r="9" spans="1:63" ht="15.75" thickBot="1" x14ac:dyDescent="0.3">
      <c r="A9" s="26" t="s">
        <v>2</v>
      </c>
      <c r="B9" s="114">
        <f>Retirement_Inputs!B7</f>
        <v>0.08</v>
      </c>
      <c r="C9" s="1"/>
      <c r="D9" s="291" t="s">
        <v>53</v>
      </c>
      <c r="E9" s="292"/>
      <c r="F9" s="135">
        <f ca="1">G27</f>
        <v>35379410.464830026</v>
      </c>
      <c r="G9" s="1"/>
      <c r="H9" s="24"/>
      <c r="I9" s="25"/>
      <c r="J9" s="44"/>
      <c r="K9" s="4" t="s">
        <v>3</v>
      </c>
      <c r="L9" s="2" t="s">
        <v>1</v>
      </c>
      <c r="M9" s="3" t="s">
        <v>6</v>
      </c>
      <c r="N9" s="25"/>
      <c r="O9" s="45"/>
      <c r="P9" s="4" t="s">
        <v>3</v>
      </c>
      <c r="Q9" s="2" t="s">
        <v>1</v>
      </c>
      <c r="R9" s="3" t="s">
        <v>6</v>
      </c>
      <c r="S9" s="25"/>
      <c r="T9" s="45"/>
      <c r="U9" s="4" t="s">
        <v>3</v>
      </c>
      <c r="V9" s="2" t="s">
        <v>1</v>
      </c>
      <c r="W9" s="3" t="s">
        <v>6</v>
      </c>
      <c r="X9" s="25"/>
      <c r="Y9" s="45"/>
      <c r="Z9" s="4" t="s">
        <v>3</v>
      </c>
      <c r="AA9" s="2" t="s">
        <v>1</v>
      </c>
      <c r="AB9" s="3" t="s">
        <v>6</v>
      </c>
      <c r="AC9" s="25"/>
      <c r="AD9" s="45"/>
      <c r="AE9" s="4" t="s">
        <v>3</v>
      </c>
      <c r="AF9" s="2" t="s">
        <v>1</v>
      </c>
      <c r="AG9" s="3" t="s">
        <v>6</v>
      </c>
      <c r="AH9" s="25"/>
      <c r="AI9" s="45"/>
      <c r="AJ9" s="4" t="s">
        <v>3</v>
      </c>
      <c r="AK9" s="2" t="s">
        <v>1</v>
      </c>
      <c r="AL9" s="3" t="s">
        <v>6</v>
      </c>
      <c r="AM9" s="25"/>
      <c r="AN9" s="45"/>
      <c r="AO9" s="4" t="s">
        <v>3</v>
      </c>
      <c r="AP9" s="2" t="s">
        <v>1</v>
      </c>
      <c r="AQ9" s="3" t="s">
        <v>6</v>
      </c>
      <c r="AR9" s="25"/>
      <c r="AS9" s="45"/>
      <c r="AT9" s="4" t="s">
        <v>3</v>
      </c>
      <c r="AU9" s="2" t="s">
        <v>1</v>
      </c>
      <c r="AV9" s="3" t="s">
        <v>6</v>
      </c>
      <c r="AW9" s="25"/>
      <c r="AX9" s="45"/>
      <c r="AY9" s="4" t="s">
        <v>3</v>
      </c>
      <c r="AZ9" s="2" t="s">
        <v>1</v>
      </c>
      <c r="BA9" s="3" t="s">
        <v>6</v>
      </c>
      <c r="BB9" s="25"/>
      <c r="BC9" s="45"/>
      <c r="BD9" s="4" t="s">
        <v>3</v>
      </c>
      <c r="BE9" s="2" t="s">
        <v>1</v>
      </c>
      <c r="BF9" s="3" t="s">
        <v>6</v>
      </c>
      <c r="BG9" s="25"/>
      <c r="BH9" s="45"/>
      <c r="BI9" s="4" t="s">
        <v>3</v>
      </c>
      <c r="BJ9" s="2" t="s">
        <v>1</v>
      </c>
      <c r="BK9" s="3" t="s">
        <v>6</v>
      </c>
    </row>
    <row r="10" spans="1:63" x14ac:dyDescent="0.25">
      <c r="A10" s="26" t="s">
        <v>96</v>
      </c>
      <c r="B10" s="114">
        <f>Retirement_Inputs!B15</f>
        <v>0.08</v>
      </c>
      <c r="C10" s="1"/>
      <c r="E10" s="1"/>
      <c r="G10" s="1"/>
      <c r="H10" s="24"/>
      <c r="I10" s="25"/>
      <c r="J10" s="40">
        <v>0</v>
      </c>
      <c r="K10" s="41">
        <f>IF(J10="","",J10+1)</f>
        <v>1</v>
      </c>
      <c r="L10" s="207">
        <f>_xlfn.IFNA(VLOOKUP(K10,YearlyCashFlow!$B$7:$M$90,offset,FALSE),"")</f>
        <v>0</v>
      </c>
      <c r="M10" s="46">
        <f>L10</f>
        <v>0</v>
      </c>
      <c r="N10" s="25"/>
      <c r="O10" s="41">
        <v>0</v>
      </c>
      <c r="P10" s="41">
        <f>IF(O10="","",MAX(K10:K39)+1)</f>
        <v>6</v>
      </c>
      <c r="Q10" s="207">
        <f>_xlfn.IFNA(VLOOKUP(P10,YearlyCashFlow!$B$7:$M$90,offset,FALSE),"")</f>
        <v>0</v>
      </c>
      <c r="R10" s="46">
        <f t="shared" ref="R10:R39" si="0">IF(O10&lt;=k2b-1,Q10/(1+int2b)^O10,"")</f>
        <v>0</v>
      </c>
      <c r="S10" s="25"/>
      <c r="T10" s="41">
        <v>0</v>
      </c>
      <c r="U10" s="41">
        <f>IF(T10="","",MAX(P10:P39)+1)</f>
        <v>11</v>
      </c>
      <c r="V10" s="207">
        <f ca="1">_xlfn.IFNA(VLOOKUP(U10,YearlyCashFlow!$B$7:$M$90,offset,FALSE),"")</f>
        <v>7820180.566100562</v>
      </c>
      <c r="W10" s="46">
        <f t="shared" ref="W10:W39" ca="1" si="1">IF(T10&lt;=k3b-1,V10/(1+int3b)^T10,"")</f>
        <v>7820180.566100562</v>
      </c>
      <c r="X10" s="25"/>
      <c r="Y10" s="41">
        <v>0</v>
      </c>
      <c r="Z10" s="41">
        <f>IF(Y10="","",MAX(U10:U39)+1)</f>
        <v>16</v>
      </c>
      <c r="AA10" s="207">
        <f ca="1">_xlfn.IFNA(VLOOKUP(Z10,YearlyCashFlow!$B$7:$M$90,offset,FALSE),"")</f>
        <v>1621623.6061184488</v>
      </c>
      <c r="AB10" s="46">
        <f t="shared" ref="AB10:AB39" ca="1" si="2">IF(Y10&lt;=k4b-1,AA10/(1+int4b)^Y10,"")</f>
        <v>1621623.6061184488</v>
      </c>
      <c r="AC10" s="25"/>
      <c r="AD10" s="41">
        <v>0</v>
      </c>
      <c r="AE10" s="41">
        <f>IF(AD10="","",MAX(Z10:Z39)+1)</f>
        <v>21</v>
      </c>
      <c r="AF10" s="207">
        <f ca="1">_xlfn.IFNA(VLOOKUP(AE10,YearlyCashFlow!$B$7:$M$90,offset,FALSE),"")</f>
        <v>3443030.6694509159</v>
      </c>
      <c r="AG10" s="46">
        <f t="shared" ref="AG10:AG39" ca="1" si="3">IF(AD10&lt;=k5b-1,AF10/(1+int5b)^AD10,"")</f>
        <v>3443030.6694509159</v>
      </c>
      <c r="AH10" s="25"/>
      <c r="AI10" s="41">
        <v>0</v>
      </c>
      <c r="AJ10" s="41">
        <f>IF(AI10="","",MAX(AE10:AE39)+1)</f>
        <v>26</v>
      </c>
      <c r="AK10" s="207">
        <f ca="1">_xlfn.IFNA(VLOOKUP(AJ10,YearlyCashFlow!$B$7:$M$90,offset,FALSE),"")</f>
        <v>3836620.4650857267</v>
      </c>
      <c r="AL10" s="46">
        <f t="shared" ref="AL10:AL39" ca="1" si="4">IF(AI10&lt;=k6b-1,AK10/(1+int6b)^AI10,"")</f>
        <v>3836620.4650857267</v>
      </c>
      <c r="AM10" s="25"/>
      <c r="AN10" s="41">
        <v>0</v>
      </c>
      <c r="AO10" s="41">
        <f>IF(AN10="","",MAX(AJ10:AJ39)+1)</f>
        <v>31</v>
      </c>
      <c r="AP10" s="207">
        <f ca="1">_xlfn.IFNA(VLOOKUP(AO10,YearlyCashFlow!$B$7:$M$90,offset,FALSE),"")</f>
        <v>7049767.5607170602</v>
      </c>
      <c r="AQ10" s="46">
        <f t="shared" ref="AQ10:AQ39" ca="1" si="5">IF(AN10&lt;=k7b-1,AP10/(1+int7b)^AN10,"")</f>
        <v>7049767.5607170602</v>
      </c>
      <c r="AR10" s="25"/>
      <c r="AS10" s="41">
        <v>0</v>
      </c>
      <c r="AT10" s="41">
        <f>IF(AS10="","",MAX(AO10:AO39)+1)</f>
        <v>36</v>
      </c>
      <c r="AU10" s="207">
        <f ca="1">_xlfn.IFNA(VLOOKUP(AT10,YearlyCashFlow!$B$7:$M$90,offset,FALSE),"")</f>
        <v>8707279.8577971645</v>
      </c>
      <c r="AV10" s="46">
        <f t="shared" ref="AV10:AV39" ca="1" si="6">IF(AS10&lt;=k8b-1,AU10/(1+int8b)^AS10,"")</f>
        <v>8707279.8577971645</v>
      </c>
      <c r="AW10" s="25"/>
      <c r="AX10" s="41">
        <v>0</v>
      </c>
      <c r="AY10" s="41">
        <f>IF(AX10="","",MAX(AT10:AT39)+1)</f>
        <v>41</v>
      </c>
      <c r="AZ10" s="207">
        <f ca="1">_xlfn.IFNA(VLOOKUP(AY10,YearlyCashFlow!$B$7:$M$90,offset,FALSE),"")</f>
        <v>13068915.992360247</v>
      </c>
      <c r="BA10" s="46">
        <f t="shared" ref="BA10:BA39" ca="1" si="7">IF(AX10&lt;=k9b-1,AZ10/(1+int9b)^AX10,"")</f>
        <v>13068915.992360247</v>
      </c>
      <c r="BB10" s="25"/>
      <c r="BC10" s="41">
        <v>0</v>
      </c>
      <c r="BD10" s="41">
        <f>IF(BC10="","",MAX(AY10:AY39)+1)</f>
        <v>46</v>
      </c>
      <c r="BE10" s="207">
        <f ca="1">_xlfn.IFNA(VLOOKUP(BD10,YearlyCashFlow!$B$7:$M$90,offset,FALSE),"")</f>
        <v>19427065.292726409</v>
      </c>
      <c r="BF10" s="46">
        <f t="shared" ref="BF10:BF39" ca="1" si="8">IF(BC10&lt;=k10b-1,BE10/(1+int10b)^BC10,"")</f>
        <v>19427065.292726409</v>
      </c>
      <c r="BG10" s="25"/>
      <c r="BH10" s="41">
        <v>0</v>
      </c>
      <c r="BI10" s="41">
        <f>IF(BH10="","",MAX(BD10:BD39)+1)</f>
        <v>51</v>
      </c>
      <c r="BJ10" s="207">
        <f ca="1">_xlfn.IFNA(VLOOKUP(BI10,YearlyCashFlow!$B$7:$M$90,offset,FALSE),"")</f>
        <v>28817304.860656705</v>
      </c>
      <c r="BK10" s="46">
        <f t="shared" ref="BK10:BK39" ca="1" si="9">IF(BH10&lt;=k11b-1,BJ10/(1+int11b)^BH10,"")</f>
        <v>28817304.860656705</v>
      </c>
    </row>
    <row r="11" spans="1:63" x14ac:dyDescent="0.25">
      <c r="A11" s="12" t="s">
        <v>48</v>
      </c>
      <c r="B11" s="210">
        <f>Retirement_Inputs!B14+Retirement_Inputs!B11</f>
        <v>53</v>
      </c>
      <c r="C11" s="1"/>
      <c r="D11" s="66" t="s">
        <v>54</v>
      </c>
      <c r="E11" s="1"/>
      <c r="G11" s="1"/>
      <c r="H11" s="24"/>
      <c r="I11" s="25"/>
      <c r="J11" s="40">
        <f t="shared" ref="J11:J39" si="10">IF(J10&lt;k-1,J10+1,"")</f>
        <v>1</v>
      </c>
      <c r="K11" s="41">
        <f>IF(J11="","",K10+1)</f>
        <v>2</v>
      </c>
      <c r="L11" s="207">
        <f>_xlfn.IFNA(VLOOKUP(K11,YearlyCashFlow!$B$7:$M$90,offset,FALSE),"")</f>
        <v>0</v>
      </c>
      <c r="M11" s="46">
        <f t="shared" ref="M11:M39" si="11">IF(J11&lt;=k-1,L11/(1+int)^J11,"")</f>
        <v>0</v>
      </c>
      <c r="N11" s="25"/>
      <c r="O11" s="41">
        <f t="shared" ref="O11:O39" si="12">IF(O10&lt;k2b-1,O10+1,"")</f>
        <v>1</v>
      </c>
      <c r="P11" s="41">
        <f>IF(O11="","",P10+1)</f>
        <v>7</v>
      </c>
      <c r="Q11" s="207">
        <f>_xlfn.IFNA(VLOOKUP(P11,YearlyCashFlow!$B$7:$M$90,offset,FALSE),"")</f>
        <v>0</v>
      </c>
      <c r="R11" s="46">
        <f t="shared" si="0"/>
        <v>0</v>
      </c>
      <c r="S11" s="25"/>
      <c r="T11" s="41">
        <f t="shared" ref="T11:T39" si="13">IF(T10&lt;k3b-1,T10+1,"")</f>
        <v>1</v>
      </c>
      <c r="U11" s="41">
        <f>IF(T11="","",U10+1)</f>
        <v>12</v>
      </c>
      <c r="V11" s="207">
        <f ca="1">_xlfn.IFNA(VLOOKUP(U11,YearlyCashFlow!$B$7:$M$90,offset,FALSE),"")</f>
        <v>6205596.3478449928</v>
      </c>
      <c r="W11" s="46">
        <f t="shared" ca="1" si="1"/>
        <v>5910091.759852374</v>
      </c>
      <c r="X11" s="25"/>
      <c r="Y11" s="41">
        <f t="shared" ref="Y11:Y39" si="14">IF(Y10&lt;k4b-1,Y10+1,"")</f>
        <v>1</v>
      </c>
      <c r="Z11" s="41">
        <f>IF(Y11="","",Z10+1)</f>
        <v>17</v>
      </c>
      <c r="AA11" s="207">
        <f ca="1">_xlfn.IFNA(VLOOKUP(Z11,YearlyCashFlow!$B$7:$M$90,offset,FALSE),"")</f>
        <v>3095049.8598217862</v>
      </c>
      <c r="AB11" s="46">
        <f t="shared" ca="1" si="2"/>
        <v>2947666.5331636057</v>
      </c>
      <c r="AC11" s="25"/>
      <c r="AD11" s="41">
        <f t="shared" ref="AD11:AD39" si="15">IF(AD10&lt;k5b-1,AD10+1,"")</f>
        <v>1</v>
      </c>
      <c r="AE11" s="41">
        <f>IF(AD11="","",AE10+1)</f>
        <v>22</v>
      </c>
      <c r="AF11" s="207">
        <f ca="1">_xlfn.IFNA(VLOOKUP(AE11,YearlyCashFlow!$B$7:$M$90,offset,FALSE),"")</f>
        <v>2737536.5596524077</v>
      </c>
      <c r="AG11" s="46">
        <f t="shared" ca="1" si="3"/>
        <v>2607177.6758594359</v>
      </c>
      <c r="AH11" s="25"/>
      <c r="AI11" s="41">
        <f t="shared" ref="AI11:AI39" si="16">IF(AI10&lt;k6b-1,AI10+1,"")</f>
        <v>1</v>
      </c>
      <c r="AJ11" s="41">
        <f>IF(AI11="","",AJ10+1)</f>
        <v>27</v>
      </c>
      <c r="AK11" s="207">
        <f ca="1">_xlfn.IFNA(VLOOKUP(AJ11,YearlyCashFlow!$B$7:$M$90,offset,FALSE),"")</f>
        <v>4169985.8461545166</v>
      </c>
      <c r="AL11" s="46">
        <f t="shared" ca="1" si="4"/>
        <v>3971415.0915757297</v>
      </c>
      <c r="AM11" s="25"/>
      <c r="AN11" s="41">
        <f t="shared" ref="AN11:AN39" si="17">IF(AN10&lt;k7b-1,AN10+1,"")</f>
        <v>1</v>
      </c>
      <c r="AO11" s="41">
        <f>IF(AN11="","",AO10+1)</f>
        <v>32</v>
      </c>
      <c r="AP11" s="207">
        <f ca="1">_xlfn.IFNA(VLOOKUP(AO11,YearlyCashFlow!$B$7:$M$90,offset,FALSE),"")</f>
        <v>6293731.807380694</v>
      </c>
      <c r="AQ11" s="46">
        <f t="shared" ca="1" si="5"/>
        <v>5994030.292743518</v>
      </c>
      <c r="AR11" s="25"/>
      <c r="AS11" s="41">
        <f t="shared" ref="AS11:AS39" si="18">IF(AS10&lt;k8b-1,AS10+1,"")</f>
        <v>1</v>
      </c>
      <c r="AT11" s="41">
        <f>IF(AS11="","",AT10+1)</f>
        <v>37</v>
      </c>
      <c r="AU11" s="207">
        <f ca="1">_xlfn.IFNA(VLOOKUP(AT11,YearlyCashFlow!$B$7:$M$90,offset,FALSE),"")</f>
        <v>9438470.9437686168</v>
      </c>
      <c r="AV11" s="46">
        <f t="shared" ca="1" si="6"/>
        <v>8989019.9464463014</v>
      </c>
      <c r="AW11" s="25"/>
      <c r="AX11" s="41">
        <f t="shared" ref="AX11:AX39" si="19">IF(AX10&lt;k9b-1,AX10+1,"")</f>
        <v>1</v>
      </c>
      <c r="AY11" s="41">
        <f>IF(AX11="","",AY10+1)</f>
        <v>42</v>
      </c>
      <c r="AZ11" s="207">
        <f ca="1">_xlfn.IFNA(VLOOKUP(AY11,YearlyCashFlow!$B$7:$M$90,offset,FALSE),"")</f>
        <v>14150086.489876051</v>
      </c>
      <c r="BA11" s="46">
        <f t="shared" ca="1" si="7"/>
        <v>13476272.847501</v>
      </c>
      <c r="BB11" s="25"/>
      <c r="BC11" s="41">
        <f>IF(BC10&lt;$BF$3-1,BC10+1,"")</f>
        <v>1</v>
      </c>
      <c r="BD11" s="41">
        <f>IF(BC11="","",BD10+1)</f>
        <v>47</v>
      </c>
      <c r="BE11" s="207">
        <f ca="1">_xlfn.IFNA(VLOOKUP(BD11,YearlyCashFlow!$B$7:$M$90,offset,FALSE),"")</f>
        <v>21024352.093510032</v>
      </c>
      <c r="BF11" s="46">
        <f t="shared" ca="1" si="8"/>
        <v>20023192.470009554</v>
      </c>
      <c r="BG11" s="25"/>
      <c r="BH11" s="41">
        <f>IF(BH10&lt;$BK$3-1,BH10+1,"")</f>
        <v>1</v>
      </c>
      <c r="BI11" s="41">
        <f>IF(BH11="","",BI10+1)</f>
        <v>52</v>
      </c>
      <c r="BJ11" s="207">
        <f ca="1">_xlfn.IFNA(VLOOKUP(BI11,YearlyCashFlow!$B$7:$M$90,offset,FALSE),"")</f>
        <v>31175337.450946763</v>
      </c>
      <c r="BK11" s="46">
        <f t="shared" ca="1" si="9"/>
        <v>29690797.572330248</v>
      </c>
    </row>
    <row r="12" spans="1:63" ht="15.75" thickBot="1" x14ac:dyDescent="0.3">
      <c r="A12" s="42" t="s">
        <v>23</v>
      </c>
      <c r="B12" s="43"/>
      <c r="C12" s="1"/>
      <c r="E12" s="1"/>
      <c r="F12" s="60"/>
      <c r="G12" s="1"/>
      <c r="H12" s="24"/>
      <c r="I12" s="25"/>
      <c r="J12" s="40">
        <f t="shared" si="10"/>
        <v>2</v>
      </c>
      <c r="K12" s="41">
        <f>IF(J12="","",K11+1)</f>
        <v>3</v>
      </c>
      <c r="L12" s="207">
        <f>_xlfn.IFNA(VLOOKUP(K12,YearlyCashFlow!$B$7:$M$90,offset,FALSE),"")</f>
        <v>0</v>
      </c>
      <c r="M12" s="46">
        <f t="shared" si="11"/>
        <v>0</v>
      </c>
      <c r="N12" s="25"/>
      <c r="O12" s="41">
        <f t="shared" si="12"/>
        <v>2</v>
      </c>
      <c r="P12" s="41">
        <f>IF(O12="","",P11+1)</f>
        <v>8</v>
      </c>
      <c r="Q12" s="207">
        <f ca="1">_xlfn.IFNA(VLOOKUP(P12,YearlyCashFlow!$B$7:$M$90,offset,FALSE),"")</f>
        <v>2156711.4121691301</v>
      </c>
      <c r="R12" s="46">
        <f t="shared" ca="1" si="0"/>
        <v>1956200.8273642901</v>
      </c>
      <c r="S12" s="25"/>
      <c r="T12" s="41">
        <f t="shared" si="13"/>
        <v>2</v>
      </c>
      <c r="U12" s="41">
        <f>IF(T12="","",U11+1)</f>
        <v>13</v>
      </c>
      <c r="V12" s="207">
        <f ca="1">_xlfn.IFNA(VLOOKUP(U12,YearlyCashFlow!$B$7:$M$90,offset,FALSE),"")</f>
        <v>1294043.5544486991</v>
      </c>
      <c r="W12" s="46">
        <f t="shared" ca="1" si="1"/>
        <v>1173735.6502936047</v>
      </c>
      <c r="X12" s="25"/>
      <c r="Y12" s="41">
        <f t="shared" si="14"/>
        <v>2</v>
      </c>
      <c r="Z12" s="41">
        <f>IF(Y12="","",Z11+1)</f>
        <v>18</v>
      </c>
      <c r="AA12" s="207">
        <f ca="1">_xlfn.IFNA(VLOOKUP(Z12,YearlyCashFlow!$B$7:$M$90,offset,FALSE),"")</f>
        <v>3298357.1156829433</v>
      </c>
      <c r="AB12" s="46">
        <f t="shared" ca="1" si="2"/>
        <v>2991707.1344062975</v>
      </c>
      <c r="AC12" s="25"/>
      <c r="AD12" s="41">
        <f t="shared" si="15"/>
        <v>2</v>
      </c>
      <c r="AE12" s="41">
        <f>IF(AD12="","",AE11+1)</f>
        <v>23</v>
      </c>
      <c r="AF12" s="207">
        <f ca="1">_xlfn.IFNA(VLOOKUP(AE12,YearlyCashFlow!$B$7:$M$90,offset,FALSE),"")</f>
        <v>2980671.1150615728</v>
      </c>
      <c r="AG12" s="46">
        <f t="shared" ca="1" si="3"/>
        <v>2703556.5669492721</v>
      </c>
      <c r="AH12" s="25"/>
      <c r="AI12" s="41">
        <f t="shared" si="16"/>
        <v>2</v>
      </c>
      <c r="AJ12" s="41">
        <f>IF(AI12="","",AJ11+1)</f>
        <v>28</v>
      </c>
      <c r="AK12" s="207">
        <f ca="1">_xlfn.IFNA(VLOOKUP(AJ12,YearlyCashFlow!$B$7:$M$90,offset,FALSE),"")</f>
        <v>4530670.2449019067</v>
      </c>
      <c r="AL12" s="46">
        <f t="shared" ca="1" si="4"/>
        <v>4109451.4692987814</v>
      </c>
      <c r="AM12" s="25"/>
      <c r="AN12" s="41">
        <f t="shared" si="17"/>
        <v>2</v>
      </c>
      <c r="AO12" s="41">
        <f>IF(AN12="","",AO11+1)</f>
        <v>33</v>
      </c>
      <c r="AP12" s="207">
        <f ca="1">_xlfn.IFNA(VLOOKUP(AO12,YearlyCashFlow!$B$7:$M$90,offset,FALSE),"")</f>
        <v>6828085.891667204</v>
      </c>
      <c r="AQ12" s="46">
        <f t="shared" ca="1" si="5"/>
        <v>6193275.1851856727</v>
      </c>
      <c r="AR12" s="25"/>
      <c r="AS12" s="41">
        <f t="shared" si="18"/>
        <v>2</v>
      </c>
      <c r="AT12" s="41">
        <f>IF(AS12="","",AT11+1)</f>
        <v>38</v>
      </c>
      <c r="AU12" s="207">
        <f ca="1">_xlfn.IFNA(VLOOKUP(AT12,YearlyCashFlow!$B$7:$M$90,offset,FALSE),"")</f>
        <v>10229215.751485167</v>
      </c>
      <c r="AV12" s="46">
        <f t="shared" ca="1" si="6"/>
        <v>9278200.2281044591</v>
      </c>
      <c r="AW12" s="25"/>
      <c r="AX12" s="41">
        <f t="shared" si="19"/>
        <v>2</v>
      </c>
      <c r="AY12" s="41">
        <f t="shared" ref="AY12:AY38" si="20">IF(AX12="","",AY11+1)</f>
        <v>43</v>
      </c>
      <c r="AZ12" s="207">
        <f ca="1">_xlfn.IFNA(VLOOKUP(AY12,YearlyCashFlow!$B$7:$M$90,offset,FALSE),"")</f>
        <v>15319101.488099467</v>
      </c>
      <c r="BA12" s="46">
        <f t="shared" ca="1" si="7"/>
        <v>13894876.633196795</v>
      </c>
      <c r="BB12" s="25"/>
      <c r="BC12" s="41">
        <f t="shared" ref="BC12:BC39" si="21">IF(BC11&lt;$BF$3-1,BC11+1,"")</f>
        <v>2</v>
      </c>
      <c r="BD12" s="41">
        <f t="shared" ref="BD12:BD39" si="22">IF(BC12="","",BD11+1)</f>
        <v>48</v>
      </c>
      <c r="BE12" s="207">
        <f ca="1">_xlfn.IFNA(VLOOKUP(BD12,YearlyCashFlow!$B$7:$M$90,offset,FALSE),"")</f>
        <v>22751145.91722462</v>
      </c>
      <c r="BF12" s="46">
        <f t="shared" ca="1" si="8"/>
        <v>20635960.015623238</v>
      </c>
      <c r="BG12" s="25"/>
      <c r="BH12" s="41">
        <f t="shared" ref="BH12:BH39" si="23">IF(BH11&lt;$BK$3-1,BH11+1,"")</f>
        <v>2</v>
      </c>
      <c r="BI12" s="41">
        <f t="shared" ref="BI12:BI39" si="24">IF(BH12="","",BI11+1)</f>
        <v>53</v>
      </c>
      <c r="BJ12" s="207">
        <f ca="1">_xlfn.IFNA(VLOOKUP(BI12,YearlyCashFlow!$B$7:$M$90,offset,FALSE),"")</f>
        <v>35449514.461360604</v>
      </c>
      <c r="BK12" s="46">
        <f t="shared" ca="1" si="9"/>
        <v>32153754.613479003</v>
      </c>
    </row>
    <row r="13" spans="1:63" ht="15.75" thickBot="1" x14ac:dyDescent="0.3">
      <c r="A13" s="1"/>
      <c r="B13" s="20"/>
      <c r="C13" s="1"/>
      <c r="E13" s="1"/>
      <c r="G13" s="1"/>
      <c r="H13" s="24"/>
      <c r="I13" s="25"/>
      <c r="J13" s="40">
        <f t="shared" si="10"/>
        <v>3</v>
      </c>
      <c r="K13" s="41">
        <f t="shared" ref="K13:K39" si="25">IF(J13="","",K12+1)</f>
        <v>4</v>
      </c>
      <c r="L13" s="207">
        <f>_xlfn.IFNA(VLOOKUP(K13,YearlyCashFlow!$B$7:$M$90,offset,FALSE),"")</f>
        <v>0</v>
      </c>
      <c r="M13" s="46">
        <f t="shared" si="11"/>
        <v>0</v>
      </c>
      <c r="N13" s="25"/>
      <c r="O13" s="41">
        <f t="shared" si="12"/>
        <v>3</v>
      </c>
      <c r="P13" s="41">
        <f t="shared" ref="P13:P39" si="26">IF(O13="","",P12+1)</f>
        <v>9</v>
      </c>
      <c r="Q13" s="207">
        <f ca="1">_xlfn.IFNA(VLOOKUP(P13,YearlyCashFlow!$B$7:$M$90,offset,FALSE),"")</f>
        <v>4723119.081862662</v>
      </c>
      <c r="R13" s="46">
        <f t="shared" ca="1" si="0"/>
        <v>4080007.8452544315</v>
      </c>
      <c r="S13" s="25"/>
      <c r="T13" s="41">
        <f t="shared" si="13"/>
        <v>3</v>
      </c>
      <c r="U13" s="41">
        <f t="shared" ref="U13:U39" si="27">IF(T13="","",U12+1)</f>
        <v>14</v>
      </c>
      <c r="V13" s="207">
        <f ca="1">_xlfn.IFNA(VLOOKUP(U13,YearlyCashFlow!$B$7:$M$90,offset,FALSE),"")</f>
        <v>7109346.4629907161</v>
      </c>
      <c r="W13" s="46">
        <f t="shared" ca="1" si="1"/>
        <v>6141320.7757181432</v>
      </c>
      <c r="X13" s="25"/>
      <c r="Y13" s="41">
        <f t="shared" si="14"/>
        <v>3</v>
      </c>
      <c r="Z13" s="41">
        <f t="shared" ref="Z13:Z39" si="28">IF(Y13="","",Z12+1)</f>
        <v>19</v>
      </c>
      <c r="AA13" s="207">
        <f ca="1">_xlfn.IFNA(VLOOKUP(Z13,YearlyCashFlow!$B$7:$M$90,offset,FALSE),"")</f>
        <v>7167459.9417621782</v>
      </c>
      <c r="AB13" s="46">
        <f t="shared" ca="1" si="2"/>
        <v>6191521.3836623924</v>
      </c>
      <c r="AC13" s="25"/>
      <c r="AD13" s="41">
        <f t="shared" si="15"/>
        <v>3</v>
      </c>
      <c r="AE13" s="41">
        <f t="shared" ref="AE13:AE39" si="29">IF(AD13="","",AE12+1)</f>
        <v>24</v>
      </c>
      <c r="AF13" s="207">
        <f ca="1">_xlfn.IFNA(VLOOKUP(AE13,YearlyCashFlow!$B$7:$M$90,offset,FALSE),"")</f>
        <v>3243791.01643532</v>
      </c>
      <c r="AG13" s="46">
        <f t="shared" ca="1" si="3"/>
        <v>2802108.6417754623</v>
      </c>
      <c r="AH13" s="25"/>
      <c r="AI13" s="41">
        <f t="shared" si="16"/>
        <v>3</v>
      </c>
      <c r="AJ13" s="41">
        <f t="shared" ref="AJ13:AJ39" si="30">IF(AI13="","",AJ12+1)</f>
        <v>29</v>
      </c>
      <c r="AK13" s="207">
        <f ca="1">_xlfn.IFNA(VLOOKUP(AJ13,YearlyCashFlow!$B$7:$M$90,offset,FALSE),"")</f>
        <v>4920891.6721018394</v>
      </c>
      <c r="AL13" s="46">
        <f t="shared" ca="1" si="4"/>
        <v>4250851.2446619924</v>
      </c>
      <c r="AM13" s="25"/>
      <c r="AN13" s="41">
        <f t="shared" si="17"/>
        <v>3</v>
      </c>
      <c r="AO13" s="41">
        <f t="shared" ref="AO13:AO39" si="31">IF(AN13="","",AO12+1)</f>
        <v>34</v>
      </c>
      <c r="AP13" s="207">
        <f ca="1">_xlfn.IFNA(VLOOKUP(AO13,YearlyCashFlow!$B$7:$M$90,offset,FALSE),"")</f>
        <v>7406059.0796814375</v>
      </c>
      <c r="AQ13" s="46">
        <f t="shared" ca="1" si="5"/>
        <v>6397632.2899742462</v>
      </c>
      <c r="AR13" s="25"/>
      <c r="AS13" s="41">
        <f t="shared" si="18"/>
        <v>3</v>
      </c>
      <c r="AT13" s="41">
        <f t="shared" ref="AT13:AT39" si="32">IF(AS13="","",AT12+1)</f>
        <v>39</v>
      </c>
      <c r="AU13" s="207">
        <f ca="1">_xlfn.IFNA(VLOOKUP(AT13,YearlyCashFlow!$B$7:$M$90,offset,FALSE),"")</f>
        <v>11084331.500429796</v>
      </c>
      <c r="AV13" s="46">
        <f t="shared" ca="1" si="6"/>
        <v>9575062.3046580665</v>
      </c>
      <c r="AW13" s="25"/>
      <c r="AX13" s="41">
        <f t="shared" si="19"/>
        <v>3</v>
      </c>
      <c r="AY13" s="41">
        <f t="shared" si="20"/>
        <v>44</v>
      </c>
      <c r="AZ13" s="207">
        <f ca="1">_xlfn.IFNA(VLOOKUP(AY13,YearlyCashFlow!$B$7:$M$90,offset,FALSE),"")</f>
        <v>16583056.090132423</v>
      </c>
      <c r="BA13" s="46">
        <f t="shared" ca="1" si="7"/>
        <v>14325067.34921276</v>
      </c>
      <c r="BB13" s="25"/>
      <c r="BC13" s="41">
        <f t="shared" si="21"/>
        <v>3</v>
      </c>
      <c r="BD13" s="41">
        <f t="shared" si="22"/>
        <v>49</v>
      </c>
      <c r="BE13" s="207">
        <f ca="1">_xlfn.IFNA(VLOOKUP(BD13,YearlyCashFlow!$B$7:$M$90,offset,FALSE),"")</f>
        <v>24617893.529648066</v>
      </c>
      <c r="BF13" s="46">
        <f t="shared" ca="1" si="8"/>
        <v>21265862.027554747</v>
      </c>
      <c r="BG13" s="25"/>
      <c r="BH13" s="41" t="str">
        <f t="shared" si="23"/>
        <v/>
      </c>
      <c r="BI13" s="41" t="str">
        <f t="shared" si="24"/>
        <v/>
      </c>
      <c r="BJ13" s="207" t="str">
        <f>_xlfn.IFNA(VLOOKUP(BI13,YearlyCashFlow!$B$7:$M$90,offset,FALSE),"")</f>
        <v/>
      </c>
      <c r="BK13" s="46" t="str">
        <f t="shared" si="9"/>
        <v/>
      </c>
    </row>
    <row r="14" spans="1:63" x14ac:dyDescent="0.25">
      <c r="A14" s="1"/>
      <c r="B14" s="289" t="s">
        <v>21</v>
      </c>
      <c r="C14" s="64" t="s">
        <v>22</v>
      </c>
      <c r="D14" s="117" t="s">
        <v>28</v>
      </c>
      <c r="E14" s="13" t="s">
        <v>27</v>
      </c>
      <c r="F14" s="14" t="s">
        <v>37</v>
      </c>
      <c r="G14" s="15" t="s">
        <v>24</v>
      </c>
      <c r="H14" s="24"/>
      <c r="I14" s="25"/>
      <c r="J14" s="40">
        <f t="shared" si="10"/>
        <v>4</v>
      </c>
      <c r="K14" s="41">
        <f t="shared" si="25"/>
        <v>5</v>
      </c>
      <c r="L14" s="207">
        <f>_xlfn.IFNA(VLOOKUP(K14,YearlyCashFlow!$B$7:$M$90,offset,FALSE),"")</f>
        <v>0</v>
      </c>
      <c r="M14" s="46">
        <f t="shared" si="11"/>
        <v>0</v>
      </c>
      <c r="N14" s="25"/>
      <c r="O14" s="41">
        <f t="shared" si="12"/>
        <v>4</v>
      </c>
      <c r="P14" s="41">
        <f t="shared" si="26"/>
        <v>10</v>
      </c>
      <c r="Q14" s="207">
        <f ca="1">_xlfn.IFNA(VLOOKUP(P14,YearlyCashFlow!$B$7:$M$90,offset,FALSE),"")</f>
        <v>2093150.4744236739</v>
      </c>
      <c r="R14" s="46">
        <f t="shared" ca="1" si="0"/>
        <v>1722040.0754201584</v>
      </c>
      <c r="S14" s="25"/>
      <c r="T14" s="41">
        <f t="shared" si="13"/>
        <v>4</v>
      </c>
      <c r="U14" s="41">
        <f t="shared" si="27"/>
        <v>15</v>
      </c>
      <c r="V14" s="207">
        <f ca="1">_xlfn.IFNA(VLOOKUP(U14,YearlyCashFlow!$B$7:$M$90,offset,FALSE),"")</f>
        <v>9877127.9206792302</v>
      </c>
      <c r="W14" s="46">
        <f t="shared" ca="1" si="1"/>
        <v>8125937.5841787979</v>
      </c>
      <c r="X14" s="25"/>
      <c r="Y14" s="41">
        <f t="shared" si="14"/>
        <v>4</v>
      </c>
      <c r="Z14" s="41">
        <f t="shared" si="28"/>
        <v>20</v>
      </c>
      <c r="AA14" s="207">
        <f ca="1">_xlfn.IFNA(VLOOKUP(Z14,YearlyCashFlow!$B$7:$M$90,offset,FALSE),"")</f>
        <v>2305320.1476256005</v>
      </c>
      <c r="AB14" s="46">
        <f t="shared" ca="1" si="2"/>
        <v>1896592.5906391682</v>
      </c>
      <c r="AC14" s="25"/>
      <c r="AD14" s="41">
        <f t="shared" si="15"/>
        <v>4</v>
      </c>
      <c r="AE14" s="41">
        <f t="shared" si="29"/>
        <v>25</v>
      </c>
      <c r="AF14" s="207">
        <f ca="1">_xlfn.IFNA(VLOOKUP(AE14,YearlyCashFlow!$B$7:$M$90,offset,FALSE),"")</f>
        <v>3528521.8205274083</v>
      </c>
      <c r="AG14" s="46">
        <f t="shared" ca="1" si="3"/>
        <v>2902923.6341050556</v>
      </c>
      <c r="AH14" s="25"/>
      <c r="AI14" s="41">
        <f t="shared" si="16"/>
        <v>4</v>
      </c>
      <c r="AJ14" s="41">
        <f t="shared" si="30"/>
        <v>30</v>
      </c>
      <c r="AK14" s="207">
        <f ca="1">_xlfn.IFNA(VLOOKUP(AJ14,YearlyCashFlow!$B$7:$M$90,offset,FALSE),"")</f>
        <v>5343047.2038581558</v>
      </c>
      <c r="AL14" s="46">
        <f t="shared" ca="1" si="4"/>
        <v>4395738.1575439498</v>
      </c>
      <c r="AM14" s="25"/>
      <c r="AN14" s="41">
        <f t="shared" si="17"/>
        <v>4</v>
      </c>
      <c r="AO14" s="41">
        <f t="shared" si="31"/>
        <v>35</v>
      </c>
      <c r="AP14" s="207">
        <f ca="1">_xlfn.IFNA(VLOOKUP(AO14,YearlyCashFlow!$B$7:$M$90,offset,FALSE),"")</f>
        <v>8031184.4385708524</v>
      </c>
      <c r="AQ14" s="46">
        <f t="shared" ca="1" si="5"/>
        <v>6607275.3131222911</v>
      </c>
      <c r="AR14" s="25"/>
      <c r="AS14" s="41">
        <f t="shared" si="18"/>
        <v>4</v>
      </c>
      <c r="AT14" s="41">
        <f t="shared" si="32"/>
        <v>40</v>
      </c>
      <c r="AU14" s="207">
        <f ca="1">_xlfn.IFNA(VLOOKUP(AT14,YearlyCashFlow!$B$7:$M$90,offset,FALSE),"")</f>
        <v>12009023.433731284</v>
      </c>
      <c r="AV14" s="46">
        <f t="shared" ca="1" si="6"/>
        <v>9879853.2987644318</v>
      </c>
      <c r="AW14" s="25"/>
      <c r="AX14" s="41">
        <f t="shared" si="19"/>
        <v>4</v>
      </c>
      <c r="AY14" s="41">
        <f t="shared" si="20"/>
        <v>45</v>
      </c>
      <c r="AZ14" s="207">
        <f ca="1">_xlfn.IFNA(VLOOKUP(AY14,YearlyCashFlow!$B$7:$M$90,offset,FALSE),"")</f>
        <v>17949616.384477265</v>
      </c>
      <c r="BA14" s="46">
        <f t="shared" ca="1" si="7"/>
        <v>14767193.821074359</v>
      </c>
      <c r="BB14" s="25"/>
      <c r="BC14" s="41">
        <f t="shared" si="21"/>
        <v>4</v>
      </c>
      <c r="BD14" s="41">
        <f t="shared" si="22"/>
        <v>50</v>
      </c>
      <c r="BE14" s="207">
        <f ca="1">_xlfn.IFNA(VLOOKUP(BD14,YearlyCashFlow!$B$7:$M$90,offset,FALSE),"")</f>
        <v>26635881.748017658</v>
      </c>
      <c r="BF14" s="46">
        <f t="shared" ca="1" si="8"/>
        <v>21913405.832358047</v>
      </c>
      <c r="BG14" s="25"/>
      <c r="BH14" s="41" t="str">
        <f t="shared" si="23"/>
        <v/>
      </c>
      <c r="BI14" s="41" t="str">
        <f t="shared" si="24"/>
        <v/>
      </c>
      <c r="BJ14" s="207" t="str">
        <f>_xlfn.IFNA(VLOOKUP(BI14,YearlyCashFlow!$B$7:$M$90,offset,FALSE),"")</f>
        <v/>
      </c>
      <c r="BK14" s="46" t="str">
        <f t="shared" si="9"/>
        <v/>
      </c>
    </row>
    <row r="15" spans="1:63" x14ac:dyDescent="0.25">
      <c r="A15" s="1"/>
      <c r="B15" s="290"/>
      <c r="C15" s="65" t="s">
        <v>29</v>
      </c>
      <c r="D15" s="63"/>
      <c r="E15" s="6" t="s">
        <v>26</v>
      </c>
      <c r="F15" s="7" t="s">
        <v>25</v>
      </c>
      <c r="G15" s="16" t="s">
        <v>5</v>
      </c>
      <c r="H15" s="24"/>
      <c r="I15" s="25"/>
      <c r="J15" s="40" t="str">
        <f t="shared" si="10"/>
        <v/>
      </c>
      <c r="K15" s="41" t="str">
        <f t="shared" si="25"/>
        <v/>
      </c>
      <c r="L15" s="207" t="str">
        <f>_xlfn.IFNA(VLOOKUP(K15,YearlyCashFlow!$B$7:$M$90,offset,FALSE),"")</f>
        <v/>
      </c>
      <c r="M15" s="46" t="str">
        <f t="shared" si="11"/>
        <v/>
      </c>
      <c r="N15" s="25"/>
      <c r="O15" s="41" t="str">
        <f t="shared" si="12"/>
        <v/>
      </c>
      <c r="P15" s="41" t="str">
        <f t="shared" si="26"/>
        <v/>
      </c>
      <c r="Q15" s="207" t="str">
        <f>_xlfn.IFNA(VLOOKUP(P15,YearlyCashFlow!$B$7:$M$90,offset,FALSE),"")</f>
        <v/>
      </c>
      <c r="R15" s="46" t="str">
        <f t="shared" si="0"/>
        <v/>
      </c>
      <c r="S15" s="25"/>
      <c r="T15" s="41" t="str">
        <f t="shared" si="13"/>
        <v/>
      </c>
      <c r="U15" s="41" t="str">
        <f t="shared" si="27"/>
        <v/>
      </c>
      <c r="V15" s="207" t="str">
        <f>_xlfn.IFNA(VLOOKUP(U15,YearlyCashFlow!$B$7:$M$90,offset,FALSE),"")</f>
        <v/>
      </c>
      <c r="W15" s="46" t="str">
        <f t="shared" si="1"/>
        <v/>
      </c>
      <c r="X15" s="25"/>
      <c r="Y15" s="41" t="str">
        <f t="shared" si="14"/>
        <v/>
      </c>
      <c r="Z15" s="41" t="str">
        <f t="shared" si="28"/>
        <v/>
      </c>
      <c r="AA15" s="207" t="str">
        <f>_xlfn.IFNA(VLOOKUP(Z15,YearlyCashFlow!$B$7:$M$90,offset,FALSE),"")</f>
        <v/>
      </c>
      <c r="AB15" s="46" t="str">
        <f t="shared" si="2"/>
        <v/>
      </c>
      <c r="AC15" s="25"/>
      <c r="AD15" s="41" t="str">
        <f t="shared" si="15"/>
        <v/>
      </c>
      <c r="AE15" s="41" t="str">
        <f t="shared" si="29"/>
        <v/>
      </c>
      <c r="AF15" s="207" t="str">
        <f>_xlfn.IFNA(VLOOKUP(AE15,YearlyCashFlow!$B$7:$M$90,offset,FALSE),"")</f>
        <v/>
      </c>
      <c r="AG15" s="46" t="str">
        <f t="shared" si="3"/>
        <v/>
      </c>
      <c r="AH15" s="25"/>
      <c r="AI15" s="41" t="str">
        <f t="shared" si="16"/>
        <v/>
      </c>
      <c r="AJ15" s="41" t="str">
        <f t="shared" si="30"/>
        <v/>
      </c>
      <c r="AK15" s="207" t="str">
        <f>_xlfn.IFNA(VLOOKUP(AJ15,YearlyCashFlow!$B$7:$M$90,offset,FALSE),"")</f>
        <v/>
      </c>
      <c r="AL15" s="46" t="str">
        <f t="shared" si="4"/>
        <v/>
      </c>
      <c r="AM15" s="25"/>
      <c r="AN15" s="41" t="str">
        <f t="shared" si="17"/>
        <v/>
      </c>
      <c r="AO15" s="41" t="str">
        <f t="shared" si="31"/>
        <v/>
      </c>
      <c r="AP15" s="207" t="str">
        <f>_xlfn.IFNA(VLOOKUP(AO15,YearlyCashFlow!$B$7:$M$90,offset,FALSE),"")</f>
        <v/>
      </c>
      <c r="AQ15" s="46" t="str">
        <f t="shared" si="5"/>
        <v/>
      </c>
      <c r="AR15" s="25"/>
      <c r="AS15" s="41" t="str">
        <f t="shared" si="18"/>
        <v/>
      </c>
      <c r="AT15" s="41" t="str">
        <f t="shared" si="32"/>
        <v/>
      </c>
      <c r="AU15" s="207" t="str">
        <f>_xlfn.IFNA(VLOOKUP(AT15,YearlyCashFlow!$B$7:$M$90,offset,FALSE),"")</f>
        <v/>
      </c>
      <c r="AV15" s="46" t="str">
        <f t="shared" si="6"/>
        <v/>
      </c>
      <c r="AW15" s="25"/>
      <c r="AX15" s="41" t="str">
        <f t="shared" si="19"/>
        <v/>
      </c>
      <c r="AY15" s="41" t="str">
        <f t="shared" si="20"/>
        <v/>
      </c>
      <c r="AZ15" s="207" t="str">
        <f>_xlfn.IFNA(VLOOKUP(AY15,YearlyCashFlow!$B$7:$M$90,offset,FALSE),"")</f>
        <v/>
      </c>
      <c r="BA15" s="46" t="str">
        <f t="shared" si="7"/>
        <v/>
      </c>
      <c r="BB15" s="25"/>
      <c r="BC15" s="41" t="str">
        <f t="shared" si="21"/>
        <v/>
      </c>
      <c r="BD15" s="41" t="str">
        <f t="shared" si="22"/>
        <v/>
      </c>
      <c r="BE15" s="207" t="str">
        <f>_xlfn.IFNA(VLOOKUP(BD15,YearlyCashFlow!$B$7:$M$90,offset,FALSE),"")</f>
        <v/>
      </c>
      <c r="BF15" s="46" t="str">
        <f t="shared" si="8"/>
        <v/>
      </c>
      <c r="BG15" s="25"/>
      <c r="BH15" s="41" t="str">
        <f t="shared" si="23"/>
        <v/>
      </c>
      <c r="BI15" s="41" t="str">
        <f t="shared" si="24"/>
        <v/>
      </c>
      <c r="BJ15" s="207" t="str">
        <f>_xlfn.IFNA(VLOOKUP(BI15,YearlyCashFlow!$B$7:$M$90,offset,FALSE),"")</f>
        <v/>
      </c>
      <c r="BK15" s="46" t="str">
        <f t="shared" si="9"/>
        <v/>
      </c>
    </row>
    <row r="16" spans="1:63" ht="14.45" customHeight="1" x14ac:dyDescent="0.25">
      <c r="A16" s="1"/>
      <c r="B16" s="17">
        <v>0</v>
      </c>
      <c r="C16" s="130">
        <v>5</v>
      </c>
      <c r="D16" s="119">
        <v>0.05</v>
      </c>
      <c r="E16" s="199">
        <f>M5</f>
        <v>0</v>
      </c>
      <c r="F16" s="19" t="s">
        <v>11</v>
      </c>
      <c r="G16" s="201">
        <f>M6</f>
        <v>0</v>
      </c>
      <c r="H16" s="24"/>
      <c r="I16" s="25"/>
      <c r="J16" s="40" t="str">
        <f t="shared" si="10"/>
        <v/>
      </c>
      <c r="K16" s="41" t="str">
        <f t="shared" si="25"/>
        <v/>
      </c>
      <c r="L16" s="207" t="str">
        <f>_xlfn.IFNA(VLOOKUP(K16,YearlyCashFlow!$B$7:$M$90,offset,FALSE),"")</f>
        <v/>
      </c>
      <c r="M16" s="46" t="str">
        <f t="shared" si="11"/>
        <v/>
      </c>
      <c r="N16" s="25"/>
      <c r="O16" s="41" t="str">
        <f t="shared" si="12"/>
        <v/>
      </c>
      <c r="P16" s="41" t="str">
        <f t="shared" si="26"/>
        <v/>
      </c>
      <c r="Q16" s="207" t="str">
        <f>_xlfn.IFNA(VLOOKUP(P16,YearlyCashFlow!$B$7:$M$90,offset,FALSE),"")</f>
        <v/>
      </c>
      <c r="R16" s="46" t="str">
        <f t="shared" si="0"/>
        <v/>
      </c>
      <c r="S16" s="25"/>
      <c r="T16" s="41" t="str">
        <f t="shared" si="13"/>
        <v/>
      </c>
      <c r="U16" s="41" t="str">
        <f t="shared" si="27"/>
        <v/>
      </c>
      <c r="V16" s="207" t="str">
        <f>_xlfn.IFNA(VLOOKUP(U16,YearlyCashFlow!$B$7:$M$90,offset,FALSE),"")</f>
        <v/>
      </c>
      <c r="W16" s="46" t="str">
        <f t="shared" si="1"/>
        <v/>
      </c>
      <c r="X16" s="25"/>
      <c r="Y16" s="41" t="str">
        <f t="shared" si="14"/>
        <v/>
      </c>
      <c r="Z16" s="41" t="str">
        <f t="shared" si="28"/>
        <v/>
      </c>
      <c r="AA16" s="207" t="str">
        <f>_xlfn.IFNA(VLOOKUP(Z16,YearlyCashFlow!$B$7:$M$90,offset,FALSE),"")</f>
        <v/>
      </c>
      <c r="AB16" s="46" t="str">
        <f t="shared" si="2"/>
        <v/>
      </c>
      <c r="AC16" s="25"/>
      <c r="AD16" s="41" t="str">
        <f t="shared" si="15"/>
        <v/>
      </c>
      <c r="AE16" s="41" t="str">
        <f t="shared" si="29"/>
        <v/>
      </c>
      <c r="AF16" s="207" t="str">
        <f>_xlfn.IFNA(VLOOKUP(AE16,YearlyCashFlow!$B$7:$M$90,offset,FALSE),"")</f>
        <v/>
      </c>
      <c r="AG16" s="46" t="str">
        <f t="shared" si="3"/>
        <v/>
      </c>
      <c r="AH16" s="25"/>
      <c r="AI16" s="41" t="str">
        <f t="shared" si="16"/>
        <v/>
      </c>
      <c r="AJ16" s="41" t="str">
        <f t="shared" si="30"/>
        <v/>
      </c>
      <c r="AK16" s="207" t="str">
        <f>_xlfn.IFNA(VLOOKUP(AJ16,YearlyCashFlow!$B$7:$M$90,offset,FALSE),"")</f>
        <v/>
      </c>
      <c r="AL16" s="46" t="str">
        <f t="shared" si="4"/>
        <v/>
      </c>
      <c r="AM16" s="25"/>
      <c r="AN16" s="41" t="str">
        <f t="shared" si="17"/>
        <v/>
      </c>
      <c r="AO16" s="41" t="str">
        <f t="shared" si="31"/>
        <v/>
      </c>
      <c r="AP16" s="207" t="str">
        <f>_xlfn.IFNA(VLOOKUP(AO16,YearlyCashFlow!$B$7:$M$90,offset,FALSE),"")</f>
        <v/>
      </c>
      <c r="AQ16" s="46" t="str">
        <f t="shared" si="5"/>
        <v/>
      </c>
      <c r="AR16" s="25"/>
      <c r="AS16" s="41" t="str">
        <f t="shared" si="18"/>
        <v/>
      </c>
      <c r="AT16" s="41" t="str">
        <f t="shared" si="32"/>
        <v/>
      </c>
      <c r="AU16" s="207" t="str">
        <f>_xlfn.IFNA(VLOOKUP(AT16,YearlyCashFlow!$B$7:$M$90,offset,FALSE),"")</f>
        <v/>
      </c>
      <c r="AV16" s="46" t="str">
        <f t="shared" si="6"/>
        <v/>
      </c>
      <c r="AW16" s="25"/>
      <c r="AX16" s="41" t="str">
        <f t="shared" si="19"/>
        <v/>
      </c>
      <c r="AY16" s="41" t="str">
        <f t="shared" si="20"/>
        <v/>
      </c>
      <c r="AZ16" s="207" t="str">
        <f>_xlfn.IFNA(VLOOKUP(AY16,YearlyCashFlow!$B$7:$M$90,offset,FALSE),"")</f>
        <v/>
      </c>
      <c r="BA16" s="46" t="str">
        <f t="shared" si="7"/>
        <v/>
      </c>
      <c r="BB16" s="25"/>
      <c r="BC16" s="41" t="str">
        <f t="shared" si="21"/>
        <v/>
      </c>
      <c r="BD16" s="41" t="str">
        <f t="shared" si="22"/>
        <v/>
      </c>
      <c r="BE16" s="207" t="str">
        <f>_xlfn.IFNA(VLOOKUP(BD16,YearlyCashFlow!$B$7:$M$90,offset,FALSE),"")</f>
        <v/>
      </c>
      <c r="BF16" s="46" t="str">
        <f t="shared" si="8"/>
        <v/>
      </c>
      <c r="BG16" s="25"/>
      <c r="BH16" s="41" t="str">
        <f t="shared" si="23"/>
        <v/>
      </c>
      <c r="BI16" s="41" t="str">
        <f t="shared" si="24"/>
        <v/>
      </c>
      <c r="BJ16" s="207" t="str">
        <f>_xlfn.IFNA(VLOOKUP(BI16,YearlyCashFlow!$B$7:$M$90,offset,FALSE),"")</f>
        <v/>
      </c>
      <c r="BK16" s="46" t="str">
        <f t="shared" si="9"/>
        <v/>
      </c>
    </row>
    <row r="17" spans="1:63" ht="14.45" customHeight="1" x14ac:dyDescent="0.25">
      <c r="A17" s="123" t="s">
        <v>97</v>
      </c>
      <c r="B17" s="17">
        <v>1</v>
      </c>
      <c r="C17" s="130">
        <v>5</v>
      </c>
      <c r="D17" s="119">
        <v>0.05</v>
      </c>
      <c r="E17" s="199">
        <f ca="1">R5</f>
        <v>7758248.7480388805</v>
      </c>
      <c r="F17" s="121">
        <v>7.0000000000000007E-2</v>
      </c>
      <c r="G17" s="201">
        <f ca="1">R6</f>
        <v>5531524.1343481941</v>
      </c>
      <c r="H17" s="5"/>
      <c r="I17" s="25"/>
      <c r="J17" s="40" t="str">
        <f t="shared" si="10"/>
        <v/>
      </c>
      <c r="K17" s="41" t="str">
        <f t="shared" si="25"/>
        <v/>
      </c>
      <c r="L17" s="207" t="str">
        <f>_xlfn.IFNA(VLOOKUP(K17,YearlyCashFlow!$B$7:$M$90,offset,FALSE),"")</f>
        <v/>
      </c>
      <c r="M17" s="46" t="str">
        <f t="shared" si="11"/>
        <v/>
      </c>
      <c r="N17" s="25"/>
      <c r="O17" s="41" t="str">
        <f t="shared" si="12"/>
        <v/>
      </c>
      <c r="P17" s="41" t="str">
        <f t="shared" si="26"/>
        <v/>
      </c>
      <c r="Q17" s="207" t="str">
        <f>_xlfn.IFNA(VLOOKUP(P17,YearlyCashFlow!$B$7:$M$90,offset,FALSE),"")</f>
        <v/>
      </c>
      <c r="R17" s="46" t="str">
        <f t="shared" si="0"/>
        <v/>
      </c>
      <c r="S17" s="25"/>
      <c r="T17" s="41" t="str">
        <f t="shared" si="13"/>
        <v/>
      </c>
      <c r="U17" s="41" t="str">
        <f t="shared" si="27"/>
        <v/>
      </c>
      <c r="V17" s="207" t="str">
        <f>_xlfn.IFNA(VLOOKUP(U17,YearlyCashFlow!$B$7:$M$90,offset,FALSE),"")</f>
        <v/>
      </c>
      <c r="W17" s="46" t="str">
        <f t="shared" si="1"/>
        <v/>
      </c>
      <c r="X17" s="25"/>
      <c r="Y17" s="41" t="str">
        <f t="shared" si="14"/>
        <v/>
      </c>
      <c r="Z17" s="41" t="str">
        <f t="shared" si="28"/>
        <v/>
      </c>
      <c r="AA17" s="207" t="str">
        <f>_xlfn.IFNA(VLOOKUP(Z17,YearlyCashFlow!$B$7:$M$90,offset,FALSE),"")</f>
        <v/>
      </c>
      <c r="AB17" s="46" t="str">
        <f t="shared" si="2"/>
        <v/>
      </c>
      <c r="AC17" s="25"/>
      <c r="AD17" s="41" t="str">
        <f t="shared" si="15"/>
        <v/>
      </c>
      <c r="AE17" s="41" t="str">
        <f t="shared" si="29"/>
        <v/>
      </c>
      <c r="AF17" s="207" t="str">
        <f>_xlfn.IFNA(VLOOKUP(AE17,YearlyCashFlow!$B$7:$M$90,offset,FALSE),"")</f>
        <v/>
      </c>
      <c r="AG17" s="46" t="str">
        <f t="shared" si="3"/>
        <v/>
      </c>
      <c r="AH17" s="25"/>
      <c r="AI17" s="41" t="str">
        <f t="shared" si="16"/>
        <v/>
      </c>
      <c r="AJ17" s="41" t="str">
        <f t="shared" si="30"/>
        <v/>
      </c>
      <c r="AK17" s="207" t="str">
        <f>_xlfn.IFNA(VLOOKUP(AJ17,YearlyCashFlow!$B$7:$M$90,offset,FALSE),"")</f>
        <v/>
      </c>
      <c r="AL17" s="46" t="str">
        <f t="shared" si="4"/>
        <v/>
      </c>
      <c r="AM17" s="25"/>
      <c r="AN17" s="41" t="str">
        <f t="shared" si="17"/>
        <v/>
      </c>
      <c r="AO17" s="41" t="str">
        <f t="shared" si="31"/>
        <v/>
      </c>
      <c r="AP17" s="207" t="str">
        <f>_xlfn.IFNA(VLOOKUP(AO17,YearlyCashFlow!$B$7:$M$90,offset,FALSE),"")</f>
        <v/>
      </c>
      <c r="AQ17" s="46" t="str">
        <f t="shared" si="5"/>
        <v/>
      </c>
      <c r="AR17" s="25"/>
      <c r="AS17" s="41" t="str">
        <f t="shared" si="18"/>
        <v/>
      </c>
      <c r="AT17" s="41" t="str">
        <f t="shared" si="32"/>
        <v/>
      </c>
      <c r="AU17" s="207" t="str">
        <f>_xlfn.IFNA(VLOOKUP(AT17,YearlyCashFlow!$B$7:$M$90,offset,FALSE),"")</f>
        <v/>
      </c>
      <c r="AV17" s="46" t="str">
        <f t="shared" si="6"/>
        <v/>
      </c>
      <c r="AW17" s="25"/>
      <c r="AX17" s="41" t="str">
        <f t="shared" si="19"/>
        <v/>
      </c>
      <c r="AY17" s="41" t="str">
        <f t="shared" si="20"/>
        <v/>
      </c>
      <c r="AZ17" s="207" t="str">
        <f>_xlfn.IFNA(VLOOKUP(AY17,YearlyCashFlow!$B$7:$M$90,offset,FALSE),"")</f>
        <v/>
      </c>
      <c r="BA17" s="46" t="str">
        <f t="shared" si="7"/>
        <v/>
      </c>
      <c r="BB17" s="25"/>
      <c r="BC17" s="41" t="str">
        <f t="shared" si="21"/>
        <v/>
      </c>
      <c r="BD17" s="41" t="str">
        <f t="shared" si="22"/>
        <v/>
      </c>
      <c r="BE17" s="207" t="str">
        <f>_xlfn.IFNA(VLOOKUP(BD17,YearlyCashFlow!$B$7:$M$90,offset,FALSE),"")</f>
        <v/>
      </c>
      <c r="BF17" s="46" t="str">
        <f t="shared" si="8"/>
        <v/>
      </c>
      <c r="BG17" s="25"/>
      <c r="BH17" s="41" t="str">
        <f t="shared" si="23"/>
        <v/>
      </c>
      <c r="BI17" s="41" t="str">
        <f t="shared" si="24"/>
        <v/>
      </c>
      <c r="BJ17" s="207" t="str">
        <f>_xlfn.IFNA(VLOOKUP(BI17,YearlyCashFlow!$B$7:$M$90,offset,FALSE),"")</f>
        <v/>
      </c>
      <c r="BK17" s="46" t="str">
        <f t="shared" si="9"/>
        <v/>
      </c>
    </row>
    <row r="18" spans="1:63" x14ac:dyDescent="0.25">
      <c r="A18" s="1" t="s">
        <v>177</v>
      </c>
      <c r="B18" s="17">
        <v>2</v>
      </c>
      <c r="C18" s="130">
        <v>5</v>
      </c>
      <c r="D18" s="119">
        <v>0.05</v>
      </c>
      <c r="E18" s="199">
        <f ca="1">W5</f>
        <v>29171266.336143482</v>
      </c>
      <c r="F18" s="121">
        <v>7.0000000000000007E-2</v>
      </c>
      <c r="G18" s="201">
        <f ca="1">W6</f>
        <v>14829192.592651863</v>
      </c>
      <c r="H18" s="24"/>
      <c r="I18" s="25"/>
      <c r="J18" s="40" t="str">
        <f t="shared" si="10"/>
        <v/>
      </c>
      <c r="K18" s="41" t="str">
        <f t="shared" si="25"/>
        <v/>
      </c>
      <c r="L18" s="207" t="str">
        <f>_xlfn.IFNA(VLOOKUP(K18,YearlyCashFlow!$B$7:$M$90,offset,FALSE),"")</f>
        <v/>
      </c>
      <c r="M18" s="46" t="str">
        <f t="shared" si="11"/>
        <v/>
      </c>
      <c r="N18" s="25"/>
      <c r="O18" s="41" t="str">
        <f t="shared" si="12"/>
        <v/>
      </c>
      <c r="P18" s="41" t="str">
        <f t="shared" si="26"/>
        <v/>
      </c>
      <c r="Q18" s="207" t="str">
        <f>_xlfn.IFNA(VLOOKUP(P18,YearlyCashFlow!$B$7:$M$90,offset,FALSE),"")</f>
        <v/>
      </c>
      <c r="R18" s="46" t="str">
        <f t="shared" si="0"/>
        <v/>
      </c>
      <c r="S18" s="25"/>
      <c r="T18" s="41" t="str">
        <f t="shared" si="13"/>
        <v/>
      </c>
      <c r="U18" s="41" t="str">
        <f t="shared" si="27"/>
        <v/>
      </c>
      <c r="V18" s="207" t="str">
        <f>_xlfn.IFNA(VLOOKUP(U18,YearlyCashFlow!$B$7:$M$90,offset,FALSE),"")</f>
        <v/>
      </c>
      <c r="W18" s="46" t="str">
        <f t="shared" si="1"/>
        <v/>
      </c>
      <c r="X18" s="25"/>
      <c r="Y18" s="41" t="str">
        <f t="shared" si="14"/>
        <v/>
      </c>
      <c r="Z18" s="41" t="str">
        <f t="shared" si="28"/>
        <v/>
      </c>
      <c r="AA18" s="207" t="str">
        <f>_xlfn.IFNA(VLOOKUP(Z18,YearlyCashFlow!$B$7:$M$90,offset,FALSE),"")</f>
        <v/>
      </c>
      <c r="AB18" s="46" t="str">
        <f t="shared" si="2"/>
        <v/>
      </c>
      <c r="AC18" s="25"/>
      <c r="AD18" s="41" t="str">
        <f t="shared" si="15"/>
        <v/>
      </c>
      <c r="AE18" s="41" t="str">
        <f t="shared" si="29"/>
        <v/>
      </c>
      <c r="AF18" s="207" t="str">
        <f>_xlfn.IFNA(VLOOKUP(AE18,YearlyCashFlow!$B$7:$M$90,offset,FALSE),"")</f>
        <v/>
      </c>
      <c r="AG18" s="46" t="str">
        <f t="shared" si="3"/>
        <v/>
      </c>
      <c r="AH18" s="25"/>
      <c r="AI18" s="41" t="str">
        <f t="shared" si="16"/>
        <v/>
      </c>
      <c r="AJ18" s="41" t="str">
        <f t="shared" si="30"/>
        <v/>
      </c>
      <c r="AK18" s="207" t="str">
        <f>_xlfn.IFNA(VLOOKUP(AJ18,YearlyCashFlow!$B$7:$M$90,offset,FALSE),"")</f>
        <v/>
      </c>
      <c r="AL18" s="46" t="str">
        <f t="shared" si="4"/>
        <v/>
      </c>
      <c r="AM18" s="25"/>
      <c r="AN18" s="41" t="str">
        <f t="shared" si="17"/>
        <v/>
      </c>
      <c r="AO18" s="41" t="str">
        <f t="shared" si="31"/>
        <v/>
      </c>
      <c r="AP18" s="207" t="str">
        <f>_xlfn.IFNA(VLOOKUP(AO18,YearlyCashFlow!$B$7:$M$90,offset,FALSE),"")</f>
        <v/>
      </c>
      <c r="AQ18" s="46" t="str">
        <f t="shared" si="5"/>
        <v/>
      </c>
      <c r="AR18" s="25"/>
      <c r="AS18" s="41" t="str">
        <f t="shared" si="18"/>
        <v/>
      </c>
      <c r="AT18" s="41" t="str">
        <f t="shared" si="32"/>
        <v/>
      </c>
      <c r="AU18" s="207" t="str">
        <f>_xlfn.IFNA(VLOOKUP(AT18,YearlyCashFlow!$B$7:$M$90,offset,FALSE),"")</f>
        <v/>
      </c>
      <c r="AV18" s="46" t="str">
        <f t="shared" si="6"/>
        <v/>
      </c>
      <c r="AW18" s="25"/>
      <c r="AX18" s="41" t="str">
        <f t="shared" si="19"/>
        <v/>
      </c>
      <c r="AY18" s="41" t="str">
        <f t="shared" si="20"/>
        <v/>
      </c>
      <c r="AZ18" s="207" t="str">
        <f>_xlfn.IFNA(VLOOKUP(AY18,YearlyCashFlow!$B$7:$M$90,offset,FALSE),"")</f>
        <v/>
      </c>
      <c r="BA18" s="46" t="str">
        <f t="shared" si="7"/>
        <v/>
      </c>
      <c r="BB18" s="25"/>
      <c r="BC18" s="41" t="str">
        <f t="shared" si="21"/>
        <v/>
      </c>
      <c r="BD18" s="41" t="str">
        <f t="shared" si="22"/>
        <v/>
      </c>
      <c r="BE18" s="207" t="str">
        <f>_xlfn.IFNA(VLOOKUP(BD18,YearlyCashFlow!$B$7:$M$90,offset,FALSE),"")</f>
        <v/>
      </c>
      <c r="BF18" s="46" t="str">
        <f t="shared" si="8"/>
        <v/>
      </c>
      <c r="BG18" s="25"/>
      <c r="BH18" s="41" t="str">
        <f t="shared" si="23"/>
        <v/>
      </c>
      <c r="BI18" s="41" t="str">
        <f t="shared" si="24"/>
        <v/>
      </c>
      <c r="BJ18" s="207" t="str">
        <f>_xlfn.IFNA(VLOOKUP(BI18,YearlyCashFlow!$B$7:$M$90,offset,FALSE),"")</f>
        <v/>
      </c>
      <c r="BK18" s="46" t="str">
        <f t="shared" si="9"/>
        <v/>
      </c>
    </row>
    <row r="19" spans="1:63" x14ac:dyDescent="0.25">
      <c r="A19" s="1" t="s">
        <v>242</v>
      </c>
      <c r="B19" s="17">
        <v>3</v>
      </c>
      <c r="C19" s="130">
        <v>5</v>
      </c>
      <c r="D19" s="119">
        <v>0.05</v>
      </c>
      <c r="E19" s="199">
        <f ca="1">AB5</f>
        <v>15649111.247989913</v>
      </c>
      <c r="F19" s="121">
        <v>0.1</v>
      </c>
      <c r="G19" s="201">
        <f ca="1">AB6</f>
        <v>3746272.8124623317</v>
      </c>
      <c r="H19" s="24"/>
      <c r="I19" s="25"/>
      <c r="J19" s="40" t="str">
        <f t="shared" si="10"/>
        <v/>
      </c>
      <c r="K19" s="41" t="str">
        <f t="shared" si="25"/>
        <v/>
      </c>
      <c r="L19" s="207" t="str">
        <f>_xlfn.IFNA(VLOOKUP(K19,YearlyCashFlow!$B$7:$M$90,offset,FALSE),"")</f>
        <v/>
      </c>
      <c r="M19" s="46" t="str">
        <f t="shared" si="11"/>
        <v/>
      </c>
      <c r="N19" s="25"/>
      <c r="O19" s="41" t="str">
        <f t="shared" si="12"/>
        <v/>
      </c>
      <c r="P19" s="41" t="str">
        <f t="shared" si="26"/>
        <v/>
      </c>
      <c r="Q19" s="207" t="str">
        <f>_xlfn.IFNA(VLOOKUP(P19,YearlyCashFlow!$B$7:$M$90,offset,FALSE),"")</f>
        <v/>
      </c>
      <c r="R19" s="46" t="str">
        <f t="shared" si="0"/>
        <v/>
      </c>
      <c r="S19" s="25"/>
      <c r="T19" s="41" t="str">
        <f t="shared" si="13"/>
        <v/>
      </c>
      <c r="U19" s="41" t="str">
        <f t="shared" si="27"/>
        <v/>
      </c>
      <c r="V19" s="207" t="str">
        <f>_xlfn.IFNA(VLOOKUP(U19,YearlyCashFlow!$B$7:$M$90,offset,FALSE),"")</f>
        <v/>
      </c>
      <c r="W19" s="46" t="str">
        <f t="shared" si="1"/>
        <v/>
      </c>
      <c r="X19" s="25"/>
      <c r="Y19" s="41" t="str">
        <f t="shared" si="14"/>
        <v/>
      </c>
      <c r="Z19" s="41" t="str">
        <f t="shared" si="28"/>
        <v/>
      </c>
      <c r="AA19" s="207" t="str">
        <f>_xlfn.IFNA(VLOOKUP(Z19,YearlyCashFlow!$B$7:$M$90,offset,FALSE),"")</f>
        <v/>
      </c>
      <c r="AB19" s="46" t="str">
        <f t="shared" si="2"/>
        <v/>
      </c>
      <c r="AC19" s="25"/>
      <c r="AD19" s="41" t="str">
        <f t="shared" si="15"/>
        <v/>
      </c>
      <c r="AE19" s="41" t="str">
        <f t="shared" si="29"/>
        <v/>
      </c>
      <c r="AF19" s="207" t="str">
        <f>_xlfn.IFNA(VLOOKUP(AE19,YearlyCashFlow!$B$7:$M$90,offset,FALSE),"")</f>
        <v/>
      </c>
      <c r="AG19" s="46" t="str">
        <f t="shared" si="3"/>
        <v/>
      </c>
      <c r="AH19" s="25"/>
      <c r="AI19" s="41" t="str">
        <f t="shared" si="16"/>
        <v/>
      </c>
      <c r="AJ19" s="41" t="str">
        <f t="shared" si="30"/>
        <v/>
      </c>
      <c r="AK19" s="207" t="str">
        <f>_xlfn.IFNA(VLOOKUP(AJ19,YearlyCashFlow!$B$7:$M$90,offset,FALSE),"")</f>
        <v/>
      </c>
      <c r="AL19" s="46" t="str">
        <f t="shared" si="4"/>
        <v/>
      </c>
      <c r="AM19" s="25"/>
      <c r="AN19" s="41" t="str">
        <f t="shared" si="17"/>
        <v/>
      </c>
      <c r="AO19" s="41" t="str">
        <f t="shared" si="31"/>
        <v/>
      </c>
      <c r="AP19" s="207" t="str">
        <f>_xlfn.IFNA(VLOOKUP(AO19,YearlyCashFlow!$B$7:$M$90,offset,FALSE),"")</f>
        <v/>
      </c>
      <c r="AQ19" s="46" t="str">
        <f t="shared" si="5"/>
        <v/>
      </c>
      <c r="AR19" s="25"/>
      <c r="AS19" s="41" t="str">
        <f t="shared" si="18"/>
        <v/>
      </c>
      <c r="AT19" s="41" t="str">
        <f t="shared" si="32"/>
        <v/>
      </c>
      <c r="AU19" s="207" t="str">
        <f>_xlfn.IFNA(VLOOKUP(AT19,YearlyCashFlow!$B$7:$M$90,offset,FALSE),"")</f>
        <v/>
      </c>
      <c r="AV19" s="46" t="str">
        <f t="shared" si="6"/>
        <v/>
      </c>
      <c r="AW19" s="25"/>
      <c r="AX19" s="41" t="str">
        <f t="shared" si="19"/>
        <v/>
      </c>
      <c r="AY19" s="41" t="str">
        <f t="shared" si="20"/>
        <v/>
      </c>
      <c r="AZ19" s="207" t="str">
        <f>_xlfn.IFNA(VLOOKUP(AY19,YearlyCashFlow!$B$7:$M$90,offset,FALSE),"")</f>
        <v/>
      </c>
      <c r="BA19" s="46" t="str">
        <f t="shared" si="7"/>
        <v/>
      </c>
      <c r="BB19" s="25"/>
      <c r="BC19" s="41" t="str">
        <f t="shared" si="21"/>
        <v/>
      </c>
      <c r="BD19" s="41" t="str">
        <f t="shared" si="22"/>
        <v/>
      </c>
      <c r="BE19" s="207" t="str">
        <f>_xlfn.IFNA(VLOOKUP(BD19,YearlyCashFlow!$B$7:$M$90,offset,FALSE),"")</f>
        <v/>
      </c>
      <c r="BF19" s="46" t="str">
        <f t="shared" si="8"/>
        <v/>
      </c>
      <c r="BG19" s="25"/>
      <c r="BH19" s="41" t="str">
        <f t="shared" si="23"/>
        <v/>
      </c>
      <c r="BI19" s="41" t="str">
        <f t="shared" si="24"/>
        <v/>
      </c>
      <c r="BJ19" s="207" t="str">
        <f>_xlfn.IFNA(VLOOKUP(BI19,YearlyCashFlow!$B$7:$M$90,offset,FALSE),"")</f>
        <v/>
      </c>
      <c r="BK19" s="46" t="str">
        <f t="shared" si="9"/>
        <v/>
      </c>
    </row>
    <row r="20" spans="1:63" x14ac:dyDescent="0.25">
      <c r="A20" s="1" t="s">
        <v>243</v>
      </c>
      <c r="B20" s="17">
        <v>4</v>
      </c>
      <c r="C20" s="130">
        <v>5</v>
      </c>
      <c r="D20" s="119">
        <v>0.05</v>
      </c>
      <c r="E20" s="199">
        <f ca="1">AG5</f>
        <v>14458797.188140143</v>
      </c>
      <c r="F20" s="121">
        <v>0.1</v>
      </c>
      <c r="G20" s="201">
        <f ca="1">AG6</f>
        <v>2149208.0709104352</v>
      </c>
      <c r="H20" s="24"/>
      <c r="I20" s="25"/>
      <c r="J20" s="40" t="str">
        <f t="shared" si="10"/>
        <v/>
      </c>
      <c r="K20" s="41" t="str">
        <f t="shared" si="25"/>
        <v/>
      </c>
      <c r="L20" s="207" t="str">
        <f>_xlfn.IFNA(VLOOKUP(K20,YearlyCashFlow!$B$7:$M$90,offset,FALSE),"")</f>
        <v/>
      </c>
      <c r="M20" s="46" t="str">
        <f t="shared" si="11"/>
        <v/>
      </c>
      <c r="N20" s="25"/>
      <c r="O20" s="41" t="str">
        <f t="shared" si="12"/>
        <v/>
      </c>
      <c r="P20" s="41" t="str">
        <f t="shared" si="26"/>
        <v/>
      </c>
      <c r="Q20" s="207" t="str">
        <f>_xlfn.IFNA(VLOOKUP(P20,YearlyCashFlow!$B$7:$M$90,offset,FALSE),"")</f>
        <v/>
      </c>
      <c r="R20" s="46" t="str">
        <f t="shared" si="0"/>
        <v/>
      </c>
      <c r="S20" s="25"/>
      <c r="T20" s="41" t="str">
        <f t="shared" si="13"/>
        <v/>
      </c>
      <c r="U20" s="41" t="str">
        <f t="shared" si="27"/>
        <v/>
      </c>
      <c r="V20" s="207" t="str">
        <f>_xlfn.IFNA(VLOOKUP(U20,YearlyCashFlow!$B$7:$M$90,offset,FALSE),"")</f>
        <v/>
      </c>
      <c r="W20" s="46" t="str">
        <f t="shared" si="1"/>
        <v/>
      </c>
      <c r="X20" s="25"/>
      <c r="Y20" s="41" t="str">
        <f t="shared" si="14"/>
        <v/>
      </c>
      <c r="Z20" s="41" t="str">
        <f t="shared" si="28"/>
        <v/>
      </c>
      <c r="AA20" s="207" t="str">
        <f>_xlfn.IFNA(VLOOKUP(Z20,YearlyCashFlow!$B$7:$M$90,offset,FALSE),"")</f>
        <v/>
      </c>
      <c r="AB20" s="46" t="str">
        <f t="shared" si="2"/>
        <v/>
      </c>
      <c r="AC20" s="25"/>
      <c r="AD20" s="41" t="str">
        <f t="shared" si="15"/>
        <v/>
      </c>
      <c r="AE20" s="41" t="str">
        <f t="shared" si="29"/>
        <v/>
      </c>
      <c r="AF20" s="207" t="str">
        <f>_xlfn.IFNA(VLOOKUP(AE20,YearlyCashFlow!$B$7:$M$90,offset,FALSE),"")</f>
        <v/>
      </c>
      <c r="AG20" s="46" t="str">
        <f t="shared" si="3"/>
        <v/>
      </c>
      <c r="AH20" s="25"/>
      <c r="AI20" s="41" t="str">
        <f t="shared" si="16"/>
        <v/>
      </c>
      <c r="AJ20" s="41" t="str">
        <f t="shared" si="30"/>
        <v/>
      </c>
      <c r="AK20" s="207" t="str">
        <f>_xlfn.IFNA(VLOOKUP(AJ20,YearlyCashFlow!$B$7:$M$90,offset,FALSE),"")</f>
        <v/>
      </c>
      <c r="AL20" s="46" t="str">
        <f t="shared" si="4"/>
        <v/>
      </c>
      <c r="AM20" s="25"/>
      <c r="AN20" s="41" t="str">
        <f t="shared" si="17"/>
        <v/>
      </c>
      <c r="AO20" s="41" t="str">
        <f t="shared" si="31"/>
        <v/>
      </c>
      <c r="AP20" s="207" t="str">
        <f>_xlfn.IFNA(VLOOKUP(AO20,YearlyCashFlow!$B$7:$M$90,offset,FALSE),"")</f>
        <v/>
      </c>
      <c r="AQ20" s="46" t="str">
        <f t="shared" si="5"/>
        <v/>
      </c>
      <c r="AR20" s="25"/>
      <c r="AS20" s="41" t="str">
        <f t="shared" si="18"/>
        <v/>
      </c>
      <c r="AT20" s="41" t="str">
        <f t="shared" si="32"/>
        <v/>
      </c>
      <c r="AU20" s="207" t="str">
        <f>_xlfn.IFNA(VLOOKUP(AT20,YearlyCashFlow!$B$7:$M$90,offset,FALSE),"")</f>
        <v/>
      </c>
      <c r="AV20" s="46" t="str">
        <f t="shared" si="6"/>
        <v/>
      </c>
      <c r="AW20" s="25"/>
      <c r="AX20" s="41" t="str">
        <f t="shared" si="19"/>
        <v/>
      </c>
      <c r="AY20" s="41" t="str">
        <f t="shared" si="20"/>
        <v/>
      </c>
      <c r="AZ20" s="207" t="str">
        <f>_xlfn.IFNA(VLOOKUP(AY20,YearlyCashFlow!$B$7:$M$90,offset,FALSE),"")</f>
        <v/>
      </c>
      <c r="BA20" s="46" t="str">
        <f t="shared" si="7"/>
        <v/>
      </c>
      <c r="BB20" s="25"/>
      <c r="BC20" s="41" t="str">
        <f t="shared" si="21"/>
        <v/>
      </c>
      <c r="BD20" s="41" t="str">
        <f t="shared" si="22"/>
        <v/>
      </c>
      <c r="BE20" s="207" t="str">
        <f>_xlfn.IFNA(VLOOKUP(BD20,YearlyCashFlow!$B$7:$M$90,offset,FALSE),"")</f>
        <v/>
      </c>
      <c r="BF20" s="46" t="str">
        <f t="shared" si="8"/>
        <v/>
      </c>
      <c r="BG20" s="25"/>
      <c r="BH20" s="41" t="str">
        <f t="shared" si="23"/>
        <v/>
      </c>
      <c r="BI20" s="41" t="str">
        <f t="shared" si="24"/>
        <v/>
      </c>
      <c r="BJ20" s="207" t="str">
        <f>_xlfn.IFNA(VLOOKUP(BI20,YearlyCashFlow!$B$7:$M$90,offset,FALSE),"")</f>
        <v/>
      </c>
      <c r="BK20" s="46" t="str">
        <f t="shared" si="9"/>
        <v/>
      </c>
    </row>
    <row r="21" spans="1:63" x14ac:dyDescent="0.25">
      <c r="A21" s="1"/>
      <c r="B21" s="17">
        <v>5</v>
      </c>
      <c r="C21" s="130">
        <v>5</v>
      </c>
      <c r="D21" s="119">
        <v>0.05</v>
      </c>
      <c r="E21" s="199">
        <f ca="1">AL5</f>
        <v>20564076.428166181</v>
      </c>
      <c r="F21" s="121">
        <v>0.1</v>
      </c>
      <c r="G21" s="201">
        <f ca="1">AL6</f>
        <v>1897981.9605270317</v>
      </c>
      <c r="H21" s="24"/>
      <c r="I21" s="25"/>
      <c r="J21" s="40" t="str">
        <f t="shared" si="10"/>
        <v/>
      </c>
      <c r="K21" s="41" t="str">
        <f t="shared" si="25"/>
        <v/>
      </c>
      <c r="L21" s="207" t="str">
        <f>_xlfn.IFNA(VLOOKUP(K21,YearlyCashFlow!$B$7:$M$90,offset,FALSE),"")</f>
        <v/>
      </c>
      <c r="M21" s="46" t="str">
        <f t="shared" si="11"/>
        <v/>
      </c>
      <c r="N21" s="25"/>
      <c r="O21" s="41" t="str">
        <f t="shared" si="12"/>
        <v/>
      </c>
      <c r="P21" s="41" t="str">
        <f t="shared" si="26"/>
        <v/>
      </c>
      <c r="Q21" s="207" t="str">
        <f>_xlfn.IFNA(VLOOKUP(P21,YearlyCashFlow!$B$7:$M$90,offset,FALSE),"")</f>
        <v/>
      </c>
      <c r="R21" s="46" t="str">
        <f t="shared" si="0"/>
        <v/>
      </c>
      <c r="S21" s="25"/>
      <c r="T21" s="41" t="str">
        <f t="shared" si="13"/>
        <v/>
      </c>
      <c r="U21" s="41" t="str">
        <f t="shared" si="27"/>
        <v/>
      </c>
      <c r="V21" s="207" t="str">
        <f>_xlfn.IFNA(VLOOKUP(U21,YearlyCashFlow!$B$7:$M$90,offset,FALSE),"")</f>
        <v/>
      </c>
      <c r="W21" s="46" t="str">
        <f t="shared" si="1"/>
        <v/>
      </c>
      <c r="X21" s="25"/>
      <c r="Y21" s="41" t="str">
        <f t="shared" si="14"/>
        <v/>
      </c>
      <c r="Z21" s="41" t="str">
        <f t="shared" si="28"/>
        <v/>
      </c>
      <c r="AA21" s="207" t="str">
        <f>_xlfn.IFNA(VLOOKUP(Z21,YearlyCashFlow!$B$7:$M$90,offset,FALSE),"")</f>
        <v/>
      </c>
      <c r="AB21" s="46" t="str">
        <f t="shared" si="2"/>
        <v/>
      </c>
      <c r="AC21" s="25"/>
      <c r="AD21" s="41" t="str">
        <f t="shared" si="15"/>
        <v/>
      </c>
      <c r="AE21" s="41" t="str">
        <f t="shared" si="29"/>
        <v/>
      </c>
      <c r="AF21" s="207" t="str">
        <f>_xlfn.IFNA(VLOOKUP(AE21,YearlyCashFlow!$B$7:$M$90,offset,FALSE),"")</f>
        <v/>
      </c>
      <c r="AG21" s="46" t="str">
        <f t="shared" si="3"/>
        <v/>
      </c>
      <c r="AH21" s="25"/>
      <c r="AI21" s="41" t="str">
        <f t="shared" si="16"/>
        <v/>
      </c>
      <c r="AJ21" s="41" t="str">
        <f t="shared" si="30"/>
        <v/>
      </c>
      <c r="AK21" s="207" t="str">
        <f>_xlfn.IFNA(VLOOKUP(AJ21,YearlyCashFlow!$B$7:$M$90,offset,FALSE),"")</f>
        <v/>
      </c>
      <c r="AL21" s="46" t="str">
        <f t="shared" si="4"/>
        <v/>
      </c>
      <c r="AM21" s="25"/>
      <c r="AN21" s="41" t="str">
        <f t="shared" si="17"/>
        <v/>
      </c>
      <c r="AO21" s="41" t="str">
        <f t="shared" si="31"/>
        <v/>
      </c>
      <c r="AP21" s="207" t="str">
        <f>_xlfn.IFNA(VLOOKUP(AO21,YearlyCashFlow!$B$7:$M$90,offset,FALSE),"")</f>
        <v/>
      </c>
      <c r="AQ21" s="46" t="str">
        <f t="shared" si="5"/>
        <v/>
      </c>
      <c r="AR21" s="25"/>
      <c r="AS21" s="41" t="str">
        <f t="shared" si="18"/>
        <v/>
      </c>
      <c r="AT21" s="41" t="str">
        <f t="shared" si="32"/>
        <v/>
      </c>
      <c r="AU21" s="207" t="str">
        <f>_xlfn.IFNA(VLOOKUP(AT21,YearlyCashFlow!$B$7:$M$90,offset,FALSE),"")</f>
        <v/>
      </c>
      <c r="AV21" s="46" t="str">
        <f t="shared" si="6"/>
        <v/>
      </c>
      <c r="AW21" s="25"/>
      <c r="AX21" s="41" t="str">
        <f t="shared" si="19"/>
        <v/>
      </c>
      <c r="AY21" s="41" t="str">
        <f t="shared" si="20"/>
        <v/>
      </c>
      <c r="AZ21" s="207" t="str">
        <f>_xlfn.IFNA(VLOOKUP(AY21,YearlyCashFlow!$B$7:$M$90,offset,FALSE),"")</f>
        <v/>
      </c>
      <c r="BA21" s="46" t="str">
        <f t="shared" si="7"/>
        <v/>
      </c>
      <c r="BB21" s="25"/>
      <c r="BC21" s="41" t="str">
        <f t="shared" si="21"/>
        <v/>
      </c>
      <c r="BD21" s="41" t="str">
        <f t="shared" si="22"/>
        <v/>
      </c>
      <c r="BE21" s="207" t="str">
        <f>_xlfn.IFNA(VLOOKUP(BD21,YearlyCashFlow!$B$7:$M$90,offset,FALSE),"")</f>
        <v/>
      </c>
      <c r="BF21" s="46" t="str">
        <f t="shared" si="8"/>
        <v/>
      </c>
      <c r="BG21" s="25"/>
      <c r="BH21" s="41" t="str">
        <f t="shared" si="23"/>
        <v/>
      </c>
      <c r="BI21" s="41" t="str">
        <f t="shared" si="24"/>
        <v/>
      </c>
      <c r="BJ21" s="207" t="str">
        <f>_xlfn.IFNA(VLOOKUP(BI21,YearlyCashFlow!$B$7:$M$90,offset,FALSE),"")</f>
        <v/>
      </c>
      <c r="BK21" s="46" t="str">
        <f t="shared" si="9"/>
        <v/>
      </c>
    </row>
    <row r="22" spans="1:63" x14ac:dyDescent="0.25">
      <c r="A22" s="1"/>
      <c r="B22" s="17">
        <v>6</v>
      </c>
      <c r="C22" s="130">
        <v>5</v>
      </c>
      <c r="D22" s="119">
        <v>0.05</v>
      </c>
      <c r="E22" s="199">
        <f ca="1">AQ5</f>
        <v>32241980.641742788</v>
      </c>
      <c r="F22" s="121">
        <v>0.1</v>
      </c>
      <c r="G22" s="201">
        <f ca="1">AQ6</f>
        <v>1847741.2661425422</v>
      </c>
      <c r="H22" s="24"/>
      <c r="I22" s="25"/>
      <c r="J22" s="40" t="str">
        <f t="shared" si="10"/>
        <v/>
      </c>
      <c r="K22" s="41" t="str">
        <f t="shared" si="25"/>
        <v/>
      </c>
      <c r="L22" s="207" t="str">
        <f>_xlfn.IFNA(VLOOKUP(K22,YearlyCashFlow!$B$7:$M$90,offset,FALSE),"")</f>
        <v/>
      </c>
      <c r="M22" s="46" t="str">
        <f t="shared" si="11"/>
        <v/>
      </c>
      <c r="N22" s="25"/>
      <c r="O22" s="41" t="str">
        <f t="shared" si="12"/>
        <v/>
      </c>
      <c r="P22" s="41" t="str">
        <f t="shared" si="26"/>
        <v/>
      </c>
      <c r="Q22" s="207" t="str">
        <f>_xlfn.IFNA(VLOOKUP(P22,YearlyCashFlow!$B$7:$M$90,offset,FALSE),"")</f>
        <v/>
      </c>
      <c r="R22" s="46" t="str">
        <f t="shared" si="0"/>
        <v/>
      </c>
      <c r="S22" s="25"/>
      <c r="T22" s="41" t="str">
        <f t="shared" si="13"/>
        <v/>
      </c>
      <c r="U22" s="41" t="str">
        <f t="shared" si="27"/>
        <v/>
      </c>
      <c r="V22" s="207" t="str">
        <f>_xlfn.IFNA(VLOOKUP(U22,YearlyCashFlow!$B$7:$M$90,offset,FALSE),"")</f>
        <v/>
      </c>
      <c r="W22" s="46" t="str">
        <f t="shared" si="1"/>
        <v/>
      </c>
      <c r="X22" s="25"/>
      <c r="Y22" s="41" t="str">
        <f t="shared" si="14"/>
        <v/>
      </c>
      <c r="Z22" s="41" t="str">
        <f t="shared" si="28"/>
        <v/>
      </c>
      <c r="AA22" s="207" t="str">
        <f>_xlfn.IFNA(VLOOKUP(Z22,YearlyCashFlow!$B$7:$M$90,offset,FALSE),"")</f>
        <v/>
      </c>
      <c r="AB22" s="46" t="str">
        <f t="shared" si="2"/>
        <v/>
      </c>
      <c r="AC22" s="25"/>
      <c r="AD22" s="41" t="str">
        <f t="shared" si="15"/>
        <v/>
      </c>
      <c r="AE22" s="41" t="str">
        <f t="shared" si="29"/>
        <v/>
      </c>
      <c r="AF22" s="207" t="str">
        <f>_xlfn.IFNA(VLOOKUP(AE22,YearlyCashFlow!$B$7:$M$90,offset,FALSE),"")</f>
        <v/>
      </c>
      <c r="AG22" s="46" t="str">
        <f t="shared" si="3"/>
        <v/>
      </c>
      <c r="AH22" s="25"/>
      <c r="AI22" s="41" t="str">
        <f t="shared" si="16"/>
        <v/>
      </c>
      <c r="AJ22" s="41" t="str">
        <f t="shared" si="30"/>
        <v/>
      </c>
      <c r="AK22" s="207" t="str">
        <f>_xlfn.IFNA(VLOOKUP(AJ22,YearlyCashFlow!$B$7:$M$90,offset,FALSE),"")</f>
        <v/>
      </c>
      <c r="AL22" s="46" t="str">
        <f t="shared" si="4"/>
        <v/>
      </c>
      <c r="AM22" s="25"/>
      <c r="AN22" s="41" t="str">
        <f t="shared" si="17"/>
        <v/>
      </c>
      <c r="AO22" s="41" t="str">
        <f t="shared" si="31"/>
        <v/>
      </c>
      <c r="AP22" s="207" t="str">
        <f>_xlfn.IFNA(VLOOKUP(AO22,YearlyCashFlow!$B$7:$M$90,offset,FALSE),"")</f>
        <v/>
      </c>
      <c r="AQ22" s="46" t="str">
        <f t="shared" si="5"/>
        <v/>
      </c>
      <c r="AR22" s="25"/>
      <c r="AS22" s="41" t="str">
        <f t="shared" si="18"/>
        <v/>
      </c>
      <c r="AT22" s="41" t="str">
        <f t="shared" si="32"/>
        <v/>
      </c>
      <c r="AU22" s="207" t="str">
        <f>_xlfn.IFNA(VLOOKUP(AT22,YearlyCashFlow!$B$7:$M$90,offset,FALSE),"")</f>
        <v/>
      </c>
      <c r="AV22" s="46" t="str">
        <f t="shared" si="6"/>
        <v/>
      </c>
      <c r="AW22" s="25"/>
      <c r="AX22" s="41" t="str">
        <f t="shared" si="19"/>
        <v/>
      </c>
      <c r="AY22" s="41" t="str">
        <f t="shared" si="20"/>
        <v/>
      </c>
      <c r="AZ22" s="207" t="str">
        <f>_xlfn.IFNA(VLOOKUP(AY22,YearlyCashFlow!$B$7:$M$90,offset,FALSE),"")</f>
        <v/>
      </c>
      <c r="BA22" s="46" t="str">
        <f t="shared" si="7"/>
        <v/>
      </c>
      <c r="BB22" s="25"/>
      <c r="BC22" s="41" t="str">
        <f t="shared" si="21"/>
        <v/>
      </c>
      <c r="BD22" s="41" t="str">
        <f t="shared" si="22"/>
        <v/>
      </c>
      <c r="BE22" s="207" t="str">
        <f>_xlfn.IFNA(VLOOKUP(BD22,YearlyCashFlow!$B$7:$M$90,offset,FALSE),"")</f>
        <v/>
      </c>
      <c r="BF22" s="46" t="str">
        <f t="shared" si="8"/>
        <v/>
      </c>
      <c r="BG22" s="25"/>
      <c r="BH22" s="41" t="str">
        <f t="shared" si="23"/>
        <v/>
      </c>
      <c r="BI22" s="41" t="str">
        <f t="shared" si="24"/>
        <v/>
      </c>
      <c r="BJ22" s="207" t="str">
        <f>_xlfn.IFNA(VLOOKUP(BI22,YearlyCashFlow!$B$7:$M$90,offset,FALSE),"")</f>
        <v/>
      </c>
      <c r="BK22" s="46" t="str">
        <f t="shared" si="9"/>
        <v/>
      </c>
    </row>
    <row r="23" spans="1:63" ht="15.75" thickBot="1" x14ac:dyDescent="0.3">
      <c r="B23" s="118">
        <v>7</v>
      </c>
      <c r="C23" s="131">
        <v>5</v>
      </c>
      <c r="D23" s="120">
        <v>0.05</v>
      </c>
      <c r="E23" s="200">
        <f ca="1">AV5</f>
        <v>46429415.635770418</v>
      </c>
      <c r="F23" s="122">
        <v>0.1</v>
      </c>
      <c r="G23" s="202">
        <f ca="1">AV6</f>
        <v>1652149.0960656123</v>
      </c>
      <c r="H23" s="24"/>
      <c r="I23" s="25"/>
      <c r="J23" s="40" t="str">
        <f t="shared" si="10"/>
        <v/>
      </c>
      <c r="K23" s="41" t="str">
        <f t="shared" si="25"/>
        <v/>
      </c>
      <c r="L23" s="207" t="str">
        <f>_xlfn.IFNA(VLOOKUP(K23,YearlyCashFlow!$B$7:$M$90,offset,FALSE),"")</f>
        <v/>
      </c>
      <c r="M23" s="46" t="str">
        <f t="shared" si="11"/>
        <v/>
      </c>
      <c r="N23" s="25"/>
      <c r="O23" s="41" t="str">
        <f t="shared" si="12"/>
        <v/>
      </c>
      <c r="P23" s="41" t="str">
        <f t="shared" si="26"/>
        <v/>
      </c>
      <c r="Q23" s="207" t="str">
        <f>_xlfn.IFNA(VLOOKUP(P23,YearlyCashFlow!$B$7:$M$90,offset,FALSE),"")</f>
        <v/>
      </c>
      <c r="R23" s="46" t="str">
        <f t="shared" si="0"/>
        <v/>
      </c>
      <c r="S23" s="25"/>
      <c r="T23" s="41" t="str">
        <f t="shared" si="13"/>
        <v/>
      </c>
      <c r="U23" s="41" t="str">
        <f t="shared" si="27"/>
        <v/>
      </c>
      <c r="V23" s="207" t="str">
        <f>_xlfn.IFNA(VLOOKUP(U23,YearlyCashFlow!$B$7:$M$90,offset,FALSE),"")</f>
        <v/>
      </c>
      <c r="W23" s="46" t="str">
        <f t="shared" si="1"/>
        <v/>
      </c>
      <c r="X23" s="25"/>
      <c r="Y23" s="41" t="str">
        <f t="shared" si="14"/>
        <v/>
      </c>
      <c r="Z23" s="41" t="str">
        <f t="shared" si="28"/>
        <v/>
      </c>
      <c r="AA23" s="207" t="str">
        <f>_xlfn.IFNA(VLOOKUP(Z23,YearlyCashFlow!$B$7:$M$90,offset,FALSE),"")</f>
        <v/>
      </c>
      <c r="AB23" s="46" t="str">
        <f t="shared" si="2"/>
        <v/>
      </c>
      <c r="AC23" s="25"/>
      <c r="AD23" s="41" t="str">
        <f t="shared" si="15"/>
        <v/>
      </c>
      <c r="AE23" s="41" t="str">
        <f t="shared" si="29"/>
        <v/>
      </c>
      <c r="AF23" s="207" t="str">
        <f>_xlfn.IFNA(VLOOKUP(AE23,YearlyCashFlow!$B$7:$M$90,offset,FALSE),"")</f>
        <v/>
      </c>
      <c r="AG23" s="46" t="str">
        <f t="shared" si="3"/>
        <v/>
      </c>
      <c r="AH23" s="25"/>
      <c r="AI23" s="41" t="str">
        <f t="shared" si="16"/>
        <v/>
      </c>
      <c r="AJ23" s="41" t="str">
        <f t="shared" si="30"/>
        <v/>
      </c>
      <c r="AK23" s="207" t="str">
        <f>_xlfn.IFNA(VLOOKUP(AJ23,YearlyCashFlow!$B$7:$M$90,offset,FALSE),"")</f>
        <v/>
      </c>
      <c r="AL23" s="46" t="str">
        <f t="shared" si="4"/>
        <v/>
      </c>
      <c r="AM23" s="25"/>
      <c r="AN23" s="41" t="str">
        <f t="shared" si="17"/>
        <v/>
      </c>
      <c r="AO23" s="41" t="str">
        <f t="shared" si="31"/>
        <v/>
      </c>
      <c r="AP23" s="207" t="str">
        <f>_xlfn.IFNA(VLOOKUP(AO23,YearlyCashFlow!$B$7:$M$90,offset,FALSE),"")</f>
        <v/>
      </c>
      <c r="AQ23" s="46" t="str">
        <f t="shared" si="5"/>
        <v/>
      </c>
      <c r="AR23" s="25"/>
      <c r="AS23" s="41" t="str">
        <f t="shared" si="18"/>
        <v/>
      </c>
      <c r="AT23" s="41" t="str">
        <f t="shared" si="32"/>
        <v/>
      </c>
      <c r="AU23" s="207" t="str">
        <f>_xlfn.IFNA(VLOOKUP(AT23,YearlyCashFlow!$B$7:$M$90,offset,FALSE),"")</f>
        <v/>
      </c>
      <c r="AV23" s="46" t="str">
        <f t="shared" si="6"/>
        <v/>
      </c>
      <c r="AW23" s="25"/>
      <c r="AX23" s="41" t="str">
        <f t="shared" si="19"/>
        <v/>
      </c>
      <c r="AY23" s="41" t="str">
        <f t="shared" si="20"/>
        <v/>
      </c>
      <c r="AZ23" s="207" t="str">
        <f>_xlfn.IFNA(VLOOKUP(AY23,YearlyCashFlow!$B$7:$M$90,offset,FALSE),"")</f>
        <v/>
      </c>
      <c r="BA23" s="46" t="str">
        <f t="shared" si="7"/>
        <v/>
      </c>
      <c r="BB23" s="25"/>
      <c r="BC23" s="41" t="str">
        <f t="shared" si="21"/>
        <v/>
      </c>
      <c r="BD23" s="41" t="str">
        <f t="shared" si="22"/>
        <v/>
      </c>
      <c r="BE23" s="207" t="str">
        <f>_xlfn.IFNA(VLOOKUP(BD23,YearlyCashFlow!$B$7:$M$90,offset,FALSE),"")</f>
        <v/>
      </c>
      <c r="BF23" s="46" t="str">
        <f t="shared" si="8"/>
        <v/>
      </c>
      <c r="BG23" s="25"/>
      <c r="BH23" s="41" t="str">
        <f t="shared" si="23"/>
        <v/>
      </c>
      <c r="BI23" s="41" t="str">
        <f t="shared" si="24"/>
        <v/>
      </c>
      <c r="BJ23" s="207" t="str">
        <f>_xlfn.IFNA(VLOOKUP(BI23,YearlyCashFlow!$B$7:$M$90,offset,FALSE),"")</f>
        <v/>
      </c>
      <c r="BK23" s="46" t="str">
        <f t="shared" si="9"/>
        <v/>
      </c>
    </row>
    <row r="24" spans="1:63" ht="15.75" thickBot="1" x14ac:dyDescent="0.3">
      <c r="B24" s="211">
        <v>8</v>
      </c>
      <c r="C24" s="131">
        <v>5</v>
      </c>
      <c r="D24" s="120">
        <v>0.05</v>
      </c>
      <c r="E24" s="200">
        <f ca="1">BA5</f>
        <v>69532326.643345162</v>
      </c>
      <c r="F24" s="122">
        <v>0.1</v>
      </c>
      <c r="G24" s="202">
        <f ca="1">BA6</f>
        <v>1536311.7614386179</v>
      </c>
      <c r="H24" s="24"/>
      <c r="I24" s="25"/>
      <c r="J24" s="40" t="str">
        <f t="shared" si="10"/>
        <v/>
      </c>
      <c r="K24" s="41" t="str">
        <f t="shared" si="25"/>
        <v/>
      </c>
      <c r="L24" s="207" t="str">
        <f>_xlfn.IFNA(VLOOKUP(K24,YearlyCashFlow!$B$7:$M$90,offset,FALSE),"")</f>
        <v/>
      </c>
      <c r="M24" s="46" t="str">
        <f t="shared" si="11"/>
        <v/>
      </c>
      <c r="N24" s="25"/>
      <c r="O24" s="41" t="str">
        <f t="shared" si="12"/>
        <v/>
      </c>
      <c r="P24" s="41" t="str">
        <f t="shared" si="26"/>
        <v/>
      </c>
      <c r="Q24" s="207" t="str">
        <f>_xlfn.IFNA(VLOOKUP(P24,YearlyCashFlow!$B$7:$M$90,offset,FALSE),"")</f>
        <v/>
      </c>
      <c r="R24" s="46" t="str">
        <f t="shared" si="0"/>
        <v/>
      </c>
      <c r="S24" s="25"/>
      <c r="T24" s="41" t="str">
        <f t="shared" si="13"/>
        <v/>
      </c>
      <c r="U24" s="41" t="str">
        <f t="shared" si="27"/>
        <v/>
      </c>
      <c r="V24" s="207" t="str">
        <f>_xlfn.IFNA(VLOOKUP(U24,YearlyCashFlow!$B$7:$M$90,offset,FALSE),"")</f>
        <v/>
      </c>
      <c r="W24" s="46" t="str">
        <f t="shared" si="1"/>
        <v/>
      </c>
      <c r="X24" s="25"/>
      <c r="Y24" s="41" t="str">
        <f t="shared" si="14"/>
        <v/>
      </c>
      <c r="Z24" s="41" t="str">
        <f t="shared" si="28"/>
        <v/>
      </c>
      <c r="AA24" s="207" t="str">
        <f>_xlfn.IFNA(VLOOKUP(Z24,YearlyCashFlow!$B$7:$M$90,offset,FALSE),"")</f>
        <v/>
      </c>
      <c r="AB24" s="46" t="str">
        <f t="shared" si="2"/>
        <v/>
      </c>
      <c r="AC24" s="25"/>
      <c r="AD24" s="41" t="str">
        <f t="shared" si="15"/>
        <v/>
      </c>
      <c r="AE24" s="41" t="str">
        <f t="shared" si="29"/>
        <v/>
      </c>
      <c r="AF24" s="207" t="str">
        <f>_xlfn.IFNA(VLOOKUP(AE24,YearlyCashFlow!$B$7:$M$90,offset,FALSE),"")</f>
        <v/>
      </c>
      <c r="AG24" s="46" t="str">
        <f t="shared" si="3"/>
        <v/>
      </c>
      <c r="AH24" s="25"/>
      <c r="AI24" s="41" t="str">
        <f t="shared" si="16"/>
        <v/>
      </c>
      <c r="AJ24" s="41" t="str">
        <f t="shared" si="30"/>
        <v/>
      </c>
      <c r="AK24" s="207" t="str">
        <f>_xlfn.IFNA(VLOOKUP(AJ24,YearlyCashFlow!$B$7:$M$90,offset,FALSE),"")</f>
        <v/>
      </c>
      <c r="AL24" s="46" t="str">
        <f t="shared" si="4"/>
        <v/>
      </c>
      <c r="AM24" s="25"/>
      <c r="AN24" s="41" t="str">
        <f t="shared" si="17"/>
        <v/>
      </c>
      <c r="AO24" s="41" t="str">
        <f t="shared" si="31"/>
        <v/>
      </c>
      <c r="AP24" s="207" t="str">
        <f>_xlfn.IFNA(VLOOKUP(AO24,YearlyCashFlow!$B$7:$M$90,offset,FALSE),"")</f>
        <v/>
      </c>
      <c r="AQ24" s="46" t="str">
        <f t="shared" si="5"/>
        <v/>
      </c>
      <c r="AR24" s="25"/>
      <c r="AS24" s="41" t="str">
        <f t="shared" si="18"/>
        <v/>
      </c>
      <c r="AT24" s="41" t="str">
        <f t="shared" si="32"/>
        <v/>
      </c>
      <c r="AU24" s="207" t="str">
        <f>_xlfn.IFNA(VLOOKUP(AT24,YearlyCashFlow!$B$7:$M$90,offset,FALSE),"")</f>
        <v/>
      </c>
      <c r="AV24" s="46" t="str">
        <f t="shared" si="6"/>
        <v/>
      </c>
      <c r="AW24" s="25"/>
      <c r="AX24" s="41" t="str">
        <f t="shared" si="19"/>
        <v/>
      </c>
      <c r="AY24" s="41" t="str">
        <f t="shared" si="20"/>
        <v/>
      </c>
      <c r="AZ24" s="207" t="str">
        <f>_xlfn.IFNA(VLOOKUP(AY24,YearlyCashFlow!$B$7:$M$90,offset,FALSE),"")</f>
        <v/>
      </c>
      <c r="BA24" s="46" t="str">
        <f t="shared" si="7"/>
        <v/>
      </c>
      <c r="BB24" s="25"/>
      <c r="BC24" s="41" t="str">
        <f t="shared" si="21"/>
        <v/>
      </c>
      <c r="BD24" s="41" t="str">
        <f t="shared" si="22"/>
        <v/>
      </c>
      <c r="BE24" s="207" t="str">
        <f>_xlfn.IFNA(VLOOKUP(BD24,YearlyCashFlow!$B$7:$M$90,offset,FALSE),"")</f>
        <v/>
      </c>
      <c r="BF24" s="46" t="str">
        <f t="shared" si="8"/>
        <v/>
      </c>
      <c r="BG24" s="25"/>
      <c r="BH24" s="41" t="str">
        <f t="shared" si="23"/>
        <v/>
      </c>
      <c r="BI24" s="41" t="str">
        <f t="shared" si="24"/>
        <v/>
      </c>
      <c r="BJ24" s="207" t="str">
        <f>_xlfn.IFNA(VLOOKUP(BI24,YearlyCashFlow!$B$7:$M$90,offset,FALSE),"")</f>
        <v/>
      </c>
      <c r="BK24" s="46" t="str">
        <f t="shared" si="9"/>
        <v/>
      </c>
    </row>
    <row r="25" spans="1:63" ht="15.75" thickBot="1" x14ac:dyDescent="0.3">
      <c r="B25" s="118">
        <v>9</v>
      </c>
      <c r="C25" s="131">
        <v>5</v>
      </c>
      <c r="D25" s="120">
        <v>0.05</v>
      </c>
      <c r="E25" s="200">
        <f ca="1">BF5</f>
        <v>103265485.638272</v>
      </c>
      <c r="F25" s="122">
        <v>0.1</v>
      </c>
      <c r="G25" s="202">
        <f ca="1">BF6</f>
        <v>1416721.0919383226</v>
      </c>
      <c r="H25" s="24"/>
      <c r="I25" s="25"/>
      <c r="J25" s="40" t="str">
        <f t="shared" si="10"/>
        <v/>
      </c>
      <c r="K25" s="41" t="str">
        <f t="shared" si="25"/>
        <v/>
      </c>
      <c r="L25" s="207" t="str">
        <f>_xlfn.IFNA(VLOOKUP(K25,YearlyCashFlow!$B$7:$M$90,offset,FALSE),"")</f>
        <v/>
      </c>
      <c r="M25" s="46" t="str">
        <f t="shared" si="11"/>
        <v/>
      </c>
      <c r="N25" s="25"/>
      <c r="O25" s="41" t="str">
        <f t="shared" si="12"/>
        <v/>
      </c>
      <c r="P25" s="41" t="str">
        <f t="shared" si="26"/>
        <v/>
      </c>
      <c r="Q25" s="207" t="str">
        <f>_xlfn.IFNA(VLOOKUP(P25,YearlyCashFlow!$B$7:$M$90,offset,FALSE),"")</f>
        <v/>
      </c>
      <c r="R25" s="46" t="str">
        <f t="shared" si="0"/>
        <v/>
      </c>
      <c r="S25" s="25"/>
      <c r="T25" s="41" t="str">
        <f t="shared" si="13"/>
        <v/>
      </c>
      <c r="U25" s="41" t="str">
        <f t="shared" si="27"/>
        <v/>
      </c>
      <c r="V25" s="207" t="str">
        <f>_xlfn.IFNA(VLOOKUP(U25,YearlyCashFlow!$B$7:$M$90,offset,FALSE),"")</f>
        <v/>
      </c>
      <c r="W25" s="46" t="str">
        <f t="shared" si="1"/>
        <v/>
      </c>
      <c r="X25" s="25"/>
      <c r="Y25" s="41" t="str">
        <f t="shared" si="14"/>
        <v/>
      </c>
      <c r="Z25" s="41" t="str">
        <f t="shared" si="28"/>
        <v/>
      </c>
      <c r="AA25" s="207" t="str">
        <f>_xlfn.IFNA(VLOOKUP(Z25,YearlyCashFlow!$B$7:$M$90,offset,FALSE),"")</f>
        <v/>
      </c>
      <c r="AB25" s="46" t="str">
        <f t="shared" si="2"/>
        <v/>
      </c>
      <c r="AC25" s="25"/>
      <c r="AD25" s="41" t="str">
        <f t="shared" si="15"/>
        <v/>
      </c>
      <c r="AE25" s="41" t="str">
        <f t="shared" si="29"/>
        <v/>
      </c>
      <c r="AF25" s="207" t="str">
        <f>_xlfn.IFNA(VLOOKUP(AE25,YearlyCashFlow!$B$7:$M$90,offset,FALSE),"")</f>
        <v/>
      </c>
      <c r="AG25" s="46" t="str">
        <f t="shared" si="3"/>
        <v/>
      </c>
      <c r="AH25" s="25"/>
      <c r="AI25" s="41" t="str">
        <f t="shared" si="16"/>
        <v/>
      </c>
      <c r="AJ25" s="41" t="str">
        <f t="shared" si="30"/>
        <v/>
      </c>
      <c r="AK25" s="207" t="str">
        <f>_xlfn.IFNA(VLOOKUP(AJ25,YearlyCashFlow!$B$7:$M$90,offset,FALSE),"")</f>
        <v/>
      </c>
      <c r="AL25" s="46" t="str">
        <f t="shared" si="4"/>
        <v/>
      </c>
      <c r="AM25" s="25"/>
      <c r="AN25" s="41" t="str">
        <f t="shared" si="17"/>
        <v/>
      </c>
      <c r="AO25" s="41" t="str">
        <f t="shared" si="31"/>
        <v/>
      </c>
      <c r="AP25" s="207" t="str">
        <f>_xlfn.IFNA(VLOOKUP(AO25,YearlyCashFlow!$B$7:$M$90,offset,FALSE),"")</f>
        <v/>
      </c>
      <c r="AQ25" s="46" t="str">
        <f t="shared" si="5"/>
        <v/>
      </c>
      <c r="AR25" s="25"/>
      <c r="AS25" s="41" t="str">
        <f t="shared" si="18"/>
        <v/>
      </c>
      <c r="AT25" s="41" t="str">
        <f t="shared" si="32"/>
        <v/>
      </c>
      <c r="AU25" s="207" t="str">
        <f>_xlfn.IFNA(VLOOKUP(AT25,YearlyCashFlow!$B$7:$M$90,offset,FALSE),"")</f>
        <v/>
      </c>
      <c r="AV25" s="46" t="str">
        <f t="shared" si="6"/>
        <v/>
      </c>
      <c r="AW25" s="25"/>
      <c r="AX25" s="41" t="str">
        <f t="shared" si="19"/>
        <v/>
      </c>
      <c r="AY25" s="41" t="str">
        <f t="shared" si="20"/>
        <v/>
      </c>
      <c r="AZ25" s="207" t="str">
        <f>_xlfn.IFNA(VLOOKUP(AY25,YearlyCashFlow!$B$7:$M$90,offset,FALSE),"")</f>
        <v/>
      </c>
      <c r="BA25" s="46" t="str">
        <f t="shared" si="7"/>
        <v/>
      </c>
      <c r="BB25" s="25"/>
      <c r="BC25" s="41" t="str">
        <f t="shared" si="21"/>
        <v/>
      </c>
      <c r="BD25" s="41" t="str">
        <f t="shared" si="22"/>
        <v/>
      </c>
      <c r="BE25" s="207" t="str">
        <f>_xlfn.IFNA(VLOOKUP(BD25,YearlyCashFlow!$B$7:$M$90,offset,FALSE),"")</f>
        <v/>
      </c>
      <c r="BF25" s="46" t="str">
        <f t="shared" si="8"/>
        <v/>
      </c>
      <c r="BG25" s="25"/>
      <c r="BH25" s="41" t="str">
        <f t="shared" si="23"/>
        <v/>
      </c>
      <c r="BI25" s="41" t="str">
        <f t="shared" si="24"/>
        <v/>
      </c>
      <c r="BJ25" s="207" t="str">
        <f>_xlfn.IFNA(VLOOKUP(BI25,YearlyCashFlow!$B$7:$M$90,offset,FALSE),"")</f>
        <v/>
      </c>
      <c r="BK25" s="46" t="str">
        <f t="shared" si="9"/>
        <v/>
      </c>
    </row>
    <row r="26" spans="1:63" ht="15.75" thickBot="1" x14ac:dyDescent="0.3">
      <c r="B26" s="118">
        <v>10</v>
      </c>
      <c r="C26" s="131">
        <v>3</v>
      </c>
      <c r="D26" s="120">
        <v>0.05</v>
      </c>
      <c r="E26" s="200">
        <f ca="1">BK5</f>
        <v>90661857.046465963</v>
      </c>
      <c r="F26" s="122">
        <v>0.1</v>
      </c>
      <c r="G26" s="202">
        <f ca="1">BK6</f>
        <v>772307.67834507418</v>
      </c>
      <c r="H26" s="24"/>
      <c r="I26" s="25"/>
      <c r="J26" s="40" t="str">
        <f t="shared" si="10"/>
        <v/>
      </c>
      <c r="K26" s="41" t="str">
        <f t="shared" si="25"/>
        <v/>
      </c>
      <c r="L26" s="207" t="str">
        <f>_xlfn.IFNA(VLOOKUP(K26,YearlyCashFlow!$B$7:$M$90,offset,FALSE),"")</f>
        <v/>
      </c>
      <c r="M26" s="46" t="str">
        <f t="shared" si="11"/>
        <v/>
      </c>
      <c r="N26" s="25"/>
      <c r="O26" s="41" t="str">
        <f t="shared" si="12"/>
        <v/>
      </c>
      <c r="P26" s="41" t="str">
        <f t="shared" si="26"/>
        <v/>
      </c>
      <c r="Q26" s="207" t="str">
        <f>_xlfn.IFNA(VLOOKUP(P26,YearlyCashFlow!$B$7:$M$90,offset,FALSE),"")</f>
        <v/>
      </c>
      <c r="R26" s="46" t="str">
        <f t="shared" si="0"/>
        <v/>
      </c>
      <c r="S26" s="25"/>
      <c r="T26" s="41" t="str">
        <f t="shared" si="13"/>
        <v/>
      </c>
      <c r="U26" s="41" t="str">
        <f t="shared" si="27"/>
        <v/>
      </c>
      <c r="V26" s="207" t="str">
        <f>_xlfn.IFNA(VLOOKUP(U26,YearlyCashFlow!$B$7:$M$90,offset,FALSE),"")</f>
        <v/>
      </c>
      <c r="W26" s="46" t="str">
        <f t="shared" si="1"/>
        <v/>
      </c>
      <c r="X26" s="25"/>
      <c r="Y26" s="41" t="str">
        <f t="shared" si="14"/>
        <v/>
      </c>
      <c r="Z26" s="41" t="str">
        <f t="shared" si="28"/>
        <v/>
      </c>
      <c r="AA26" s="207" t="str">
        <f>_xlfn.IFNA(VLOOKUP(Z26,YearlyCashFlow!$B$7:$M$90,offset,FALSE),"")</f>
        <v/>
      </c>
      <c r="AB26" s="46" t="str">
        <f t="shared" si="2"/>
        <v/>
      </c>
      <c r="AC26" s="25"/>
      <c r="AD26" s="41" t="str">
        <f t="shared" si="15"/>
        <v/>
      </c>
      <c r="AE26" s="41" t="str">
        <f t="shared" si="29"/>
        <v/>
      </c>
      <c r="AF26" s="207" t="str">
        <f>_xlfn.IFNA(VLOOKUP(AE26,YearlyCashFlow!$B$7:$M$90,offset,FALSE),"")</f>
        <v/>
      </c>
      <c r="AG26" s="46" t="str">
        <f t="shared" si="3"/>
        <v/>
      </c>
      <c r="AH26" s="25"/>
      <c r="AI26" s="41" t="str">
        <f t="shared" si="16"/>
        <v/>
      </c>
      <c r="AJ26" s="41" t="str">
        <f t="shared" si="30"/>
        <v/>
      </c>
      <c r="AK26" s="207" t="str">
        <f>_xlfn.IFNA(VLOOKUP(AJ26,YearlyCashFlow!$B$7:$M$90,offset,FALSE),"")</f>
        <v/>
      </c>
      <c r="AL26" s="46" t="str">
        <f t="shared" si="4"/>
        <v/>
      </c>
      <c r="AM26" s="25"/>
      <c r="AN26" s="41" t="str">
        <f t="shared" si="17"/>
        <v/>
      </c>
      <c r="AO26" s="41" t="str">
        <f t="shared" si="31"/>
        <v/>
      </c>
      <c r="AP26" s="207" t="str">
        <f>_xlfn.IFNA(VLOOKUP(AO26,YearlyCashFlow!$B$7:$M$90,offset,FALSE),"")</f>
        <v/>
      </c>
      <c r="AQ26" s="46" t="str">
        <f t="shared" si="5"/>
        <v/>
      </c>
      <c r="AR26" s="25"/>
      <c r="AS26" s="41" t="str">
        <f t="shared" si="18"/>
        <v/>
      </c>
      <c r="AT26" s="41" t="str">
        <f t="shared" si="32"/>
        <v/>
      </c>
      <c r="AU26" s="207" t="str">
        <f>_xlfn.IFNA(VLOOKUP(AT26,YearlyCashFlow!$B$7:$M$90,offset,FALSE),"")</f>
        <v/>
      </c>
      <c r="AV26" s="46" t="str">
        <f t="shared" si="6"/>
        <v/>
      </c>
      <c r="AW26" s="25"/>
      <c r="AX26" s="41" t="str">
        <f t="shared" si="19"/>
        <v/>
      </c>
      <c r="AY26" s="41" t="str">
        <f t="shared" si="20"/>
        <v/>
      </c>
      <c r="AZ26" s="207" t="str">
        <f>_xlfn.IFNA(VLOOKUP(AY26,YearlyCashFlow!$B$7:$M$90,offset,FALSE),"")</f>
        <v/>
      </c>
      <c r="BA26" s="46" t="str">
        <f t="shared" si="7"/>
        <v/>
      </c>
      <c r="BB26" s="25"/>
      <c r="BC26" s="41" t="str">
        <f t="shared" si="21"/>
        <v/>
      </c>
      <c r="BD26" s="41" t="str">
        <f t="shared" si="22"/>
        <v/>
      </c>
      <c r="BE26" s="207" t="str">
        <f>_xlfn.IFNA(VLOOKUP(BD26,YearlyCashFlow!$B$7:$M$90,offset,FALSE),"")</f>
        <v/>
      </c>
      <c r="BF26" s="46" t="str">
        <f t="shared" si="8"/>
        <v/>
      </c>
      <c r="BG26" s="25"/>
      <c r="BH26" s="41" t="str">
        <f t="shared" si="23"/>
        <v/>
      </c>
      <c r="BI26" s="41" t="str">
        <f t="shared" si="24"/>
        <v/>
      </c>
      <c r="BJ26" s="207" t="str">
        <f>_xlfn.IFNA(VLOOKUP(BI26,YearlyCashFlow!$B$7:$M$90,offset,FALSE),"")</f>
        <v/>
      </c>
      <c r="BK26" s="46" t="str">
        <f t="shared" si="9"/>
        <v/>
      </c>
    </row>
    <row r="27" spans="1:63" ht="15.75" thickBot="1" x14ac:dyDescent="0.3">
      <c r="A27" s="123" t="str">
        <f>IF(SUM(C16:C26)&lt;&gt;time,CONCATENATE("Please ensure total bucket tenure is &gt;= ",time," years"),"")</f>
        <v/>
      </c>
      <c r="B27" s="115" t="s">
        <v>49</v>
      </c>
      <c r="C27" s="116">
        <f>SUM(C16:C26)</f>
        <v>53</v>
      </c>
      <c r="D27" s="62" t="s">
        <v>30</v>
      </c>
      <c r="E27" s="20"/>
      <c r="F27" s="21" t="s">
        <v>30</v>
      </c>
      <c r="G27" s="214">
        <f ca="1">SUM(G16:G26)</f>
        <v>35379410.464830026</v>
      </c>
      <c r="I27" s="25"/>
      <c r="J27" s="40" t="str">
        <f t="shared" si="10"/>
        <v/>
      </c>
      <c r="K27" s="41" t="str">
        <f t="shared" si="25"/>
        <v/>
      </c>
      <c r="L27" s="207" t="str">
        <f>_xlfn.IFNA(VLOOKUP(K27,YearlyCashFlow!$B$7:$M$90,offset,FALSE),"")</f>
        <v/>
      </c>
      <c r="M27" s="46" t="str">
        <f t="shared" si="11"/>
        <v/>
      </c>
      <c r="N27" s="25"/>
      <c r="O27" s="41" t="str">
        <f t="shared" si="12"/>
        <v/>
      </c>
      <c r="P27" s="41" t="str">
        <f t="shared" si="26"/>
        <v/>
      </c>
      <c r="Q27" s="207" t="str">
        <f>_xlfn.IFNA(VLOOKUP(P27,YearlyCashFlow!$B$7:$M$90,offset,FALSE),"")</f>
        <v/>
      </c>
      <c r="R27" s="46" t="str">
        <f t="shared" si="0"/>
        <v/>
      </c>
      <c r="S27" s="25"/>
      <c r="T27" s="41" t="str">
        <f t="shared" si="13"/>
        <v/>
      </c>
      <c r="U27" s="41" t="str">
        <f t="shared" si="27"/>
        <v/>
      </c>
      <c r="V27" s="207" t="str">
        <f>_xlfn.IFNA(VLOOKUP(U27,YearlyCashFlow!$B$7:$M$90,offset,FALSE),"")</f>
        <v/>
      </c>
      <c r="W27" s="46" t="str">
        <f t="shared" si="1"/>
        <v/>
      </c>
      <c r="X27" s="25"/>
      <c r="Y27" s="41" t="str">
        <f t="shared" si="14"/>
        <v/>
      </c>
      <c r="Z27" s="41" t="str">
        <f t="shared" si="28"/>
        <v/>
      </c>
      <c r="AA27" s="207" t="str">
        <f>_xlfn.IFNA(VLOOKUP(Z27,YearlyCashFlow!$B$7:$M$90,offset,FALSE),"")</f>
        <v/>
      </c>
      <c r="AB27" s="46" t="str">
        <f t="shared" si="2"/>
        <v/>
      </c>
      <c r="AC27" s="25"/>
      <c r="AD27" s="41" t="str">
        <f t="shared" si="15"/>
        <v/>
      </c>
      <c r="AE27" s="41" t="str">
        <f t="shared" si="29"/>
        <v/>
      </c>
      <c r="AF27" s="207" t="str">
        <f>_xlfn.IFNA(VLOOKUP(AE27,YearlyCashFlow!$B$7:$M$90,offset,FALSE),"")</f>
        <v/>
      </c>
      <c r="AG27" s="46" t="str">
        <f t="shared" si="3"/>
        <v/>
      </c>
      <c r="AH27" s="25"/>
      <c r="AI27" s="41" t="str">
        <f t="shared" si="16"/>
        <v/>
      </c>
      <c r="AJ27" s="41" t="str">
        <f t="shared" si="30"/>
        <v/>
      </c>
      <c r="AK27" s="207" t="str">
        <f>_xlfn.IFNA(VLOOKUP(AJ27,YearlyCashFlow!$B$7:$M$90,offset,FALSE),"")</f>
        <v/>
      </c>
      <c r="AL27" s="46" t="str">
        <f t="shared" si="4"/>
        <v/>
      </c>
      <c r="AM27" s="25"/>
      <c r="AN27" s="41" t="str">
        <f t="shared" si="17"/>
        <v/>
      </c>
      <c r="AO27" s="41" t="str">
        <f t="shared" si="31"/>
        <v/>
      </c>
      <c r="AP27" s="207" t="str">
        <f>_xlfn.IFNA(VLOOKUP(AO27,YearlyCashFlow!$B$7:$M$90,offset,FALSE),"")</f>
        <v/>
      </c>
      <c r="AQ27" s="46" t="str">
        <f t="shared" si="5"/>
        <v/>
      </c>
      <c r="AR27" s="25"/>
      <c r="AS27" s="41" t="str">
        <f t="shared" si="18"/>
        <v/>
      </c>
      <c r="AT27" s="41" t="str">
        <f t="shared" si="32"/>
        <v/>
      </c>
      <c r="AU27" s="207" t="str">
        <f>_xlfn.IFNA(VLOOKUP(AT27,YearlyCashFlow!$B$7:$M$90,offset,FALSE),"")</f>
        <v/>
      </c>
      <c r="AV27" s="46" t="str">
        <f t="shared" si="6"/>
        <v/>
      </c>
      <c r="AW27" s="25"/>
      <c r="AX27" s="41" t="str">
        <f t="shared" si="19"/>
        <v/>
      </c>
      <c r="AY27" s="41" t="str">
        <f t="shared" si="20"/>
        <v/>
      </c>
      <c r="AZ27" s="207" t="str">
        <f>_xlfn.IFNA(VLOOKUP(AY27,YearlyCashFlow!$B$7:$M$90,offset,FALSE),"")</f>
        <v/>
      </c>
      <c r="BA27" s="46" t="str">
        <f t="shared" si="7"/>
        <v/>
      </c>
      <c r="BB27" s="25"/>
      <c r="BC27" s="41" t="str">
        <f t="shared" si="21"/>
        <v/>
      </c>
      <c r="BD27" s="41" t="str">
        <f t="shared" si="22"/>
        <v/>
      </c>
      <c r="BE27" s="207" t="str">
        <f>_xlfn.IFNA(VLOOKUP(BD27,YearlyCashFlow!$B$7:$M$90,offset,FALSE),"")</f>
        <v/>
      </c>
      <c r="BF27" s="46" t="str">
        <f t="shared" si="8"/>
        <v/>
      </c>
      <c r="BG27" s="25"/>
      <c r="BH27" s="41" t="str">
        <f t="shared" si="23"/>
        <v/>
      </c>
      <c r="BI27" s="41" t="str">
        <f t="shared" si="24"/>
        <v/>
      </c>
      <c r="BJ27" s="207" t="str">
        <f>_xlfn.IFNA(VLOOKUP(BI27,YearlyCashFlow!$B$7:$M$90,offset,FALSE),"")</f>
        <v/>
      </c>
      <c r="BK27" s="46" t="str">
        <f t="shared" si="9"/>
        <v/>
      </c>
    </row>
    <row r="28" spans="1:63" x14ac:dyDescent="0.25">
      <c r="A28" s="1"/>
      <c r="B28" s="1"/>
      <c r="C28" s="20"/>
      <c r="D28" s="21" t="s">
        <v>31</v>
      </c>
      <c r="E28" s="20"/>
      <c r="F28" s="21" t="s">
        <v>35</v>
      </c>
      <c r="G28" s="20"/>
      <c r="I28" s="25"/>
      <c r="J28" s="40" t="str">
        <f t="shared" si="10"/>
        <v/>
      </c>
      <c r="K28" s="41" t="str">
        <f t="shared" si="25"/>
        <v/>
      </c>
      <c r="L28" s="207" t="str">
        <f>_xlfn.IFNA(VLOOKUP(K28,YearlyCashFlow!$B$7:$M$90,offset,FALSE),"")</f>
        <v/>
      </c>
      <c r="M28" s="46" t="str">
        <f t="shared" si="11"/>
        <v/>
      </c>
      <c r="N28" s="25"/>
      <c r="O28" s="41" t="str">
        <f t="shared" si="12"/>
        <v/>
      </c>
      <c r="P28" s="41" t="str">
        <f t="shared" si="26"/>
        <v/>
      </c>
      <c r="Q28" s="207" t="str">
        <f>_xlfn.IFNA(VLOOKUP(P28,YearlyCashFlow!$B$7:$M$90,offset,FALSE),"")</f>
        <v/>
      </c>
      <c r="R28" s="46" t="str">
        <f t="shared" si="0"/>
        <v/>
      </c>
      <c r="S28" s="25"/>
      <c r="T28" s="41" t="str">
        <f t="shared" si="13"/>
        <v/>
      </c>
      <c r="U28" s="41" t="str">
        <f t="shared" si="27"/>
        <v/>
      </c>
      <c r="V28" s="207" t="str">
        <f>_xlfn.IFNA(VLOOKUP(U28,YearlyCashFlow!$B$7:$M$90,offset,FALSE),"")</f>
        <v/>
      </c>
      <c r="W28" s="46" t="str">
        <f t="shared" si="1"/>
        <v/>
      </c>
      <c r="X28" s="25"/>
      <c r="Y28" s="41" t="str">
        <f t="shared" si="14"/>
        <v/>
      </c>
      <c r="Z28" s="41" t="str">
        <f t="shared" si="28"/>
        <v/>
      </c>
      <c r="AA28" s="207" t="str">
        <f>_xlfn.IFNA(VLOOKUP(Z28,YearlyCashFlow!$B$7:$M$90,offset,FALSE),"")</f>
        <v/>
      </c>
      <c r="AB28" s="46" t="str">
        <f t="shared" si="2"/>
        <v/>
      </c>
      <c r="AC28" s="25"/>
      <c r="AD28" s="41" t="str">
        <f t="shared" si="15"/>
        <v/>
      </c>
      <c r="AE28" s="41" t="str">
        <f t="shared" si="29"/>
        <v/>
      </c>
      <c r="AF28" s="207" t="str">
        <f>_xlfn.IFNA(VLOOKUP(AE28,YearlyCashFlow!$B$7:$M$90,offset,FALSE),"")</f>
        <v/>
      </c>
      <c r="AG28" s="46" t="str">
        <f t="shared" si="3"/>
        <v/>
      </c>
      <c r="AH28" s="25"/>
      <c r="AI28" s="41" t="str">
        <f t="shared" si="16"/>
        <v/>
      </c>
      <c r="AJ28" s="41" t="str">
        <f t="shared" si="30"/>
        <v/>
      </c>
      <c r="AK28" s="207" t="str">
        <f>_xlfn.IFNA(VLOOKUP(AJ28,YearlyCashFlow!$B$7:$M$90,offset,FALSE),"")</f>
        <v/>
      </c>
      <c r="AL28" s="46" t="str">
        <f t="shared" si="4"/>
        <v/>
      </c>
      <c r="AM28" s="25"/>
      <c r="AN28" s="41" t="str">
        <f t="shared" si="17"/>
        <v/>
      </c>
      <c r="AO28" s="41" t="str">
        <f t="shared" si="31"/>
        <v/>
      </c>
      <c r="AP28" s="207" t="str">
        <f>_xlfn.IFNA(VLOOKUP(AO28,YearlyCashFlow!$B$7:$M$90,offset,FALSE),"")</f>
        <v/>
      </c>
      <c r="AQ28" s="46" t="str">
        <f t="shared" si="5"/>
        <v/>
      </c>
      <c r="AR28" s="25"/>
      <c r="AS28" s="41" t="str">
        <f t="shared" si="18"/>
        <v/>
      </c>
      <c r="AT28" s="41" t="str">
        <f t="shared" si="32"/>
        <v/>
      </c>
      <c r="AU28" s="207" t="str">
        <f>_xlfn.IFNA(VLOOKUP(AT28,YearlyCashFlow!$B$7:$M$90,offset,FALSE),"")</f>
        <v/>
      </c>
      <c r="AV28" s="46" t="str">
        <f t="shared" si="6"/>
        <v/>
      </c>
      <c r="AW28" s="25"/>
      <c r="AX28" s="41" t="str">
        <f t="shared" si="19"/>
        <v/>
      </c>
      <c r="AY28" s="41" t="str">
        <f t="shared" si="20"/>
        <v/>
      </c>
      <c r="AZ28" s="207" t="str">
        <f>_xlfn.IFNA(VLOOKUP(AY28,YearlyCashFlow!$B$7:$M$90,offset,FALSE),"")</f>
        <v/>
      </c>
      <c r="BA28" s="46" t="str">
        <f t="shared" si="7"/>
        <v/>
      </c>
      <c r="BB28" s="25"/>
      <c r="BC28" s="41" t="str">
        <f t="shared" si="21"/>
        <v/>
      </c>
      <c r="BD28" s="41" t="str">
        <f t="shared" si="22"/>
        <v/>
      </c>
      <c r="BE28" s="207" t="str">
        <f>_xlfn.IFNA(VLOOKUP(BD28,YearlyCashFlow!$B$7:$M$90,offset,FALSE),"")</f>
        <v/>
      </c>
      <c r="BF28" s="46" t="str">
        <f t="shared" si="8"/>
        <v/>
      </c>
      <c r="BG28" s="25"/>
      <c r="BH28" s="41" t="str">
        <f t="shared" si="23"/>
        <v/>
      </c>
      <c r="BI28" s="41" t="str">
        <f t="shared" si="24"/>
        <v/>
      </c>
      <c r="BJ28" s="207" t="str">
        <f>_xlfn.IFNA(VLOOKUP(BI28,YearlyCashFlow!$B$7:$M$90,offset,FALSE),"")</f>
        <v/>
      </c>
      <c r="BK28" s="46" t="str">
        <f t="shared" si="9"/>
        <v/>
      </c>
    </row>
    <row r="29" spans="1:63" x14ac:dyDescent="0.25">
      <c r="A29" s="1"/>
      <c r="B29" s="1"/>
      <c r="C29" s="20"/>
      <c r="D29" s="21" t="s">
        <v>50</v>
      </c>
      <c r="E29" s="20"/>
      <c r="F29" s="21" t="s">
        <v>51</v>
      </c>
      <c r="G29" s="20"/>
      <c r="H29" s="24"/>
      <c r="I29" s="25"/>
      <c r="J29" s="40" t="str">
        <f t="shared" si="10"/>
        <v/>
      </c>
      <c r="K29" s="41" t="str">
        <f t="shared" si="25"/>
        <v/>
      </c>
      <c r="L29" s="207" t="str">
        <f>_xlfn.IFNA(VLOOKUP(K29,YearlyCashFlow!$B$7:$M$90,offset,FALSE),"")</f>
        <v/>
      </c>
      <c r="M29" s="46" t="str">
        <f t="shared" si="11"/>
        <v/>
      </c>
      <c r="N29" s="25"/>
      <c r="O29" s="41" t="str">
        <f t="shared" si="12"/>
        <v/>
      </c>
      <c r="P29" s="41" t="str">
        <f t="shared" si="26"/>
        <v/>
      </c>
      <c r="Q29" s="207" t="str">
        <f>_xlfn.IFNA(VLOOKUP(P29,YearlyCashFlow!$B$7:$M$90,offset,FALSE),"")</f>
        <v/>
      </c>
      <c r="R29" s="46" t="str">
        <f t="shared" si="0"/>
        <v/>
      </c>
      <c r="S29" s="25"/>
      <c r="T29" s="41" t="str">
        <f t="shared" si="13"/>
        <v/>
      </c>
      <c r="U29" s="41" t="str">
        <f t="shared" si="27"/>
        <v/>
      </c>
      <c r="V29" s="207" t="str">
        <f>_xlfn.IFNA(VLOOKUP(U29,YearlyCashFlow!$B$7:$M$90,offset,FALSE),"")</f>
        <v/>
      </c>
      <c r="W29" s="46" t="str">
        <f t="shared" si="1"/>
        <v/>
      </c>
      <c r="X29" s="25"/>
      <c r="Y29" s="41" t="str">
        <f t="shared" si="14"/>
        <v/>
      </c>
      <c r="Z29" s="41" t="str">
        <f t="shared" si="28"/>
        <v/>
      </c>
      <c r="AA29" s="207" t="str">
        <f>_xlfn.IFNA(VLOOKUP(Z29,YearlyCashFlow!$B$7:$M$90,offset,FALSE),"")</f>
        <v/>
      </c>
      <c r="AB29" s="46" t="str">
        <f t="shared" si="2"/>
        <v/>
      </c>
      <c r="AC29" s="25"/>
      <c r="AD29" s="41" t="str">
        <f t="shared" si="15"/>
        <v/>
      </c>
      <c r="AE29" s="41" t="str">
        <f t="shared" si="29"/>
        <v/>
      </c>
      <c r="AF29" s="207" t="str">
        <f>_xlfn.IFNA(VLOOKUP(AE29,YearlyCashFlow!$B$7:$M$90,offset,FALSE),"")</f>
        <v/>
      </c>
      <c r="AG29" s="46" t="str">
        <f t="shared" si="3"/>
        <v/>
      </c>
      <c r="AH29" s="25"/>
      <c r="AI29" s="41" t="str">
        <f t="shared" si="16"/>
        <v/>
      </c>
      <c r="AJ29" s="41" t="str">
        <f t="shared" si="30"/>
        <v/>
      </c>
      <c r="AK29" s="207" t="str">
        <f>_xlfn.IFNA(VLOOKUP(AJ29,YearlyCashFlow!$B$7:$M$90,offset,FALSE),"")</f>
        <v/>
      </c>
      <c r="AL29" s="46" t="str">
        <f t="shared" si="4"/>
        <v/>
      </c>
      <c r="AM29" s="25"/>
      <c r="AN29" s="41" t="str">
        <f t="shared" si="17"/>
        <v/>
      </c>
      <c r="AO29" s="41" t="str">
        <f t="shared" si="31"/>
        <v/>
      </c>
      <c r="AP29" s="207" t="str">
        <f>_xlfn.IFNA(VLOOKUP(AO29,YearlyCashFlow!$B$7:$M$90,offset,FALSE),"")</f>
        <v/>
      </c>
      <c r="AQ29" s="46" t="str">
        <f t="shared" si="5"/>
        <v/>
      </c>
      <c r="AR29" s="25"/>
      <c r="AS29" s="41" t="str">
        <f t="shared" si="18"/>
        <v/>
      </c>
      <c r="AT29" s="41" t="str">
        <f t="shared" si="32"/>
        <v/>
      </c>
      <c r="AU29" s="207" t="str">
        <f>_xlfn.IFNA(VLOOKUP(AT29,YearlyCashFlow!$B$7:$M$90,offset,FALSE),"")</f>
        <v/>
      </c>
      <c r="AV29" s="46" t="str">
        <f t="shared" si="6"/>
        <v/>
      </c>
      <c r="AW29" s="25"/>
      <c r="AX29" s="41" t="str">
        <f t="shared" si="19"/>
        <v/>
      </c>
      <c r="AY29" s="41" t="str">
        <f t="shared" si="20"/>
        <v/>
      </c>
      <c r="AZ29" s="207" t="str">
        <f>_xlfn.IFNA(VLOOKUP(AY29,YearlyCashFlow!$B$7:$M$90,offset,FALSE),"")</f>
        <v/>
      </c>
      <c r="BA29" s="46" t="str">
        <f t="shared" si="7"/>
        <v/>
      </c>
      <c r="BB29" s="25"/>
      <c r="BC29" s="41" t="str">
        <f t="shared" si="21"/>
        <v/>
      </c>
      <c r="BD29" s="41" t="str">
        <f t="shared" si="22"/>
        <v/>
      </c>
      <c r="BE29" s="207" t="str">
        <f>_xlfn.IFNA(VLOOKUP(BD29,YearlyCashFlow!$B$7:$M$90,offset,FALSE),"")</f>
        <v/>
      </c>
      <c r="BF29" s="46" t="str">
        <f t="shared" si="8"/>
        <v/>
      </c>
      <c r="BG29" s="25"/>
      <c r="BH29" s="41" t="str">
        <f t="shared" si="23"/>
        <v/>
      </c>
      <c r="BI29" s="41" t="str">
        <f t="shared" si="24"/>
        <v/>
      </c>
      <c r="BJ29" s="207" t="str">
        <f>_xlfn.IFNA(VLOOKUP(BI29,YearlyCashFlow!$B$7:$M$90,offset,FALSE),"")</f>
        <v/>
      </c>
      <c r="BK29" s="46" t="str">
        <f t="shared" si="9"/>
        <v/>
      </c>
    </row>
    <row r="30" spans="1:63" ht="15.75" thickBot="1" x14ac:dyDescent="0.3">
      <c r="A30" s="1"/>
      <c r="B30" s="1"/>
      <c r="C30" s="20"/>
      <c r="D30" s="21" t="s">
        <v>32</v>
      </c>
      <c r="E30" s="20"/>
      <c r="F30" s="21" t="s">
        <v>36</v>
      </c>
      <c r="G30" s="20"/>
      <c r="H30" s="24"/>
      <c r="I30" s="25"/>
      <c r="J30" s="40" t="str">
        <f t="shared" si="10"/>
        <v/>
      </c>
      <c r="K30" s="41" t="str">
        <f t="shared" si="25"/>
        <v/>
      </c>
      <c r="L30" s="207" t="str">
        <f>_xlfn.IFNA(VLOOKUP(K30,YearlyCashFlow!$B$7:$M$90,offset,FALSE),"")</f>
        <v/>
      </c>
      <c r="M30" s="46" t="str">
        <f t="shared" si="11"/>
        <v/>
      </c>
      <c r="N30" s="25"/>
      <c r="O30" s="41" t="str">
        <f t="shared" si="12"/>
        <v/>
      </c>
      <c r="P30" s="41" t="str">
        <f t="shared" si="26"/>
        <v/>
      </c>
      <c r="Q30" s="207" t="str">
        <f>_xlfn.IFNA(VLOOKUP(P30,YearlyCashFlow!$B$7:$M$90,offset,FALSE),"")</f>
        <v/>
      </c>
      <c r="R30" s="46" t="str">
        <f t="shared" si="0"/>
        <v/>
      </c>
      <c r="S30" s="25"/>
      <c r="T30" s="41" t="str">
        <f t="shared" si="13"/>
        <v/>
      </c>
      <c r="U30" s="41" t="str">
        <f t="shared" si="27"/>
        <v/>
      </c>
      <c r="V30" s="207" t="str">
        <f>_xlfn.IFNA(VLOOKUP(U30,YearlyCashFlow!$B$7:$M$90,offset,FALSE),"")</f>
        <v/>
      </c>
      <c r="W30" s="46" t="str">
        <f t="shared" si="1"/>
        <v/>
      </c>
      <c r="X30" s="25"/>
      <c r="Y30" s="41" t="str">
        <f t="shared" si="14"/>
        <v/>
      </c>
      <c r="Z30" s="41" t="str">
        <f t="shared" si="28"/>
        <v/>
      </c>
      <c r="AA30" s="207" t="str">
        <f>_xlfn.IFNA(VLOOKUP(Z30,YearlyCashFlow!$B$7:$M$90,offset,FALSE),"")</f>
        <v/>
      </c>
      <c r="AB30" s="46" t="str">
        <f t="shared" si="2"/>
        <v/>
      </c>
      <c r="AC30" s="25"/>
      <c r="AD30" s="41" t="str">
        <f t="shared" si="15"/>
        <v/>
      </c>
      <c r="AE30" s="41" t="str">
        <f t="shared" si="29"/>
        <v/>
      </c>
      <c r="AF30" s="207" t="str">
        <f>_xlfn.IFNA(VLOOKUP(AE30,YearlyCashFlow!$B$7:$M$90,offset,FALSE),"")</f>
        <v/>
      </c>
      <c r="AG30" s="46" t="str">
        <f t="shared" si="3"/>
        <v/>
      </c>
      <c r="AH30" s="25"/>
      <c r="AI30" s="41" t="str">
        <f t="shared" si="16"/>
        <v/>
      </c>
      <c r="AJ30" s="41" t="str">
        <f t="shared" si="30"/>
        <v/>
      </c>
      <c r="AK30" s="207" t="str">
        <f>_xlfn.IFNA(VLOOKUP(AJ30,YearlyCashFlow!$B$7:$M$90,offset,FALSE),"")</f>
        <v/>
      </c>
      <c r="AL30" s="46" t="str">
        <f t="shared" si="4"/>
        <v/>
      </c>
      <c r="AM30" s="25"/>
      <c r="AN30" s="41" t="str">
        <f t="shared" si="17"/>
        <v/>
      </c>
      <c r="AO30" s="41" t="str">
        <f t="shared" si="31"/>
        <v/>
      </c>
      <c r="AP30" s="207" t="str">
        <f>_xlfn.IFNA(VLOOKUP(AO30,YearlyCashFlow!$B$7:$M$90,offset,FALSE),"")</f>
        <v/>
      </c>
      <c r="AQ30" s="46" t="str">
        <f t="shared" si="5"/>
        <v/>
      </c>
      <c r="AR30" s="25"/>
      <c r="AS30" s="41" t="str">
        <f t="shared" si="18"/>
        <v/>
      </c>
      <c r="AT30" s="41" t="str">
        <f t="shared" si="32"/>
        <v/>
      </c>
      <c r="AU30" s="207" t="str">
        <f>_xlfn.IFNA(VLOOKUP(AT30,YearlyCashFlow!$B$7:$M$90,offset,FALSE),"")</f>
        <v/>
      </c>
      <c r="AV30" s="46" t="str">
        <f t="shared" si="6"/>
        <v/>
      </c>
      <c r="AW30" s="25"/>
      <c r="AX30" s="41" t="str">
        <f t="shared" si="19"/>
        <v/>
      </c>
      <c r="AY30" s="41" t="str">
        <f t="shared" si="20"/>
        <v/>
      </c>
      <c r="AZ30" s="207" t="str">
        <f>_xlfn.IFNA(VLOOKUP(AY30,YearlyCashFlow!$B$7:$M$90,offset,FALSE),"")</f>
        <v/>
      </c>
      <c r="BA30" s="46" t="str">
        <f t="shared" si="7"/>
        <v/>
      </c>
      <c r="BB30" s="25"/>
      <c r="BC30" s="41" t="str">
        <f t="shared" si="21"/>
        <v/>
      </c>
      <c r="BD30" s="41" t="str">
        <f t="shared" si="22"/>
        <v/>
      </c>
      <c r="BE30" s="207" t="str">
        <f>_xlfn.IFNA(VLOOKUP(BD30,YearlyCashFlow!$B$7:$M$90,offset,FALSE),"")</f>
        <v/>
      </c>
      <c r="BF30" s="46" t="str">
        <f t="shared" si="8"/>
        <v/>
      </c>
      <c r="BG30" s="25"/>
      <c r="BH30" s="41" t="str">
        <f t="shared" si="23"/>
        <v/>
      </c>
      <c r="BI30" s="41" t="str">
        <f t="shared" si="24"/>
        <v/>
      </c>
      <c r="BJ30" s="207" t="str">
        <f>_xlfn.IFNA(VLOOKUP(BI30,YearlyCashFlow!$B$7:$M$90,offset,FALSE),"")</f>
        <v/>
      </c>
      <c r="BK30" s="46" t="str">
        <f t="shared" si="9"/>
        <v/>
      </c>
    </row>
    <row r="31" spans="1:63" x14ac:dyDescent="0.25">
      <c r="A31" s="1"/>
      <c r="B31" s="1"/>
      <c r="C31" s="20"/>
      <c r="D31" s="21" t="s">
        <v>33</v>
      </c>
      <c r="E31" s="20"/>
      <c r="F31" s="21" t="s">
        <v>52</v>
      </c>
      <c r="G31" s="20"/>
      <c r="H31" s="51"/>
      <c r="I31" s="25"/>
      <c r="J31" s="40" t="str">
        <f t="shared" si="10"/>
        <v/>
      </c>
      <c r="K31" s="41" t="str">
        <f t="shared" si="25"/>
        <v/>
      </c>
      <c r="L31" s="207" t="str">
        <f>_xlfn.IFNA(VLOOKUP(K31,YearlyCashFlow!$B$7:$M$90,offset,FALSE),"")</f>
        <v/>
      </c>
      <c r="M31" s="46" t="str">
        <f t="shared" si="11"/>
        <v/>
      </c>
      <c r="N31" s="25"/>
      <c r="O31" s="41" t="str">
        <f t="shared" si="12"/>
        <v/>
      </c>
      <c r="P31" s="41" t="str">
        <f t="shared" si="26"/>
        <v/>
      </c>
      <c r="Q31" s="207" t="str">
        <f>_xlfn.IFNA(VLOOKUP(P31,YearlyCashFlow!$B$7:$M$90,offset,FALSE),"")</f>
        <v/>
      </c>
      <c r="R31" s="46" t="str">
        <f t="shared" si="0"/>
        <v/>
      </c>
      <c r="S31" s="25"/>
      <c r="T31" s="41" t="str">
        <f t="shared" si="13"/>
        <v/>
      </c>
      <c r="U31" s="41" t="str">
        <f t="shared" si="27"/>
        <v/>
      </c>
      <c r="V31" s="207" t="str">
        <f>_xlfn.IFNA(VLOOKUP(U31,YearlyCashFlow!$B$7:$M$90,offset,FALSE),"")</f>
        <v/>
      </c>
      <c r="W31" s="46" t="str">
        <f t="shared" si="1"/>
        <v/>
      </c>
      <c r="X31" s="25"/>
      <c r="Y31" s="41" t="str">
        <f t="shared" si="14"/>
        <v/>
      </c>
      <c r="Z31" s="41" t="str">
        <f t="shared" si="28"/>
        <v/>
      </c>
      <c r="AA31" s="207" t="str">
        <f>_xlfn.IFNA(VLOOKUP(Z31,YearlyCashFlow!$B$7:$M$90,offset,FALSE),"")</f>
        <v/>
      </c>
      <c r="AB31" s="46" t="str">
        <f t="shared" si="2"/>
        <v/>
      </c>
      <c r="AC31" s="25"/>
      <c r="AD31" s="41" t="str">
        <f t="shared" si="15"/>
        <v/>
      </c>
      <c r="AE31" s="41" t="str">
        <f t="shared" si="29"/>
        <v/>
      </c>
      <c r="AF31" s="207" t="str">
        <f>_xlfn.IFNA(VLOOKUP(AE31,YearlyCashFlow!$B$7:$M$90,offset,FALSE),"")</f>
        <v/>
      </c>
      <c r="AG31" s="46" t="str">
        <f t="shared" si="3"/>
        <v/>
      </c>
      <c r="AH31" s="25"/>
      <c r="AI31" s="41" t="str">
        <f t="shared" si="16"/>
        <v/>
      </c>
      <c r="AJ31" s="41" t="str">
        <f t="shared" si="30"/>
        <v/>
      </c>
      <c r="AK31" s="207" t="str">
        <f>_xlfn.IFNA(VLOOKUP(AJ31,YearlyCashFlow!$B$7:$M$90,offset,FALSE),"")</f>
        <v/>
      </c>
      <c r="AL31" s="46" t="str">
        <f t="shared" si="4"/>
        <v/>
      </c>
      <c r="AM31" s="25"/>
      <c r="AN31" s="41" t="str">
        <f t="shared" si="17"/>
        <v/>
      </c>
      <c r="AO31" s="41" t="str">
        <f t="shared" si="31"/>
        <v/>
      </c>
      <c r="AP31" s="207" t="str">
        <f>_xlfn.IFNA(VLOOKUP(AO31,YearlyCashFlow!$B$7:$M$90,offset,FALSE),"")</f>
        <v/>
      </c>
      <c r="AQ31" s="46" t="str">
        <f t="shared" si="5"/>
        <v/>
      </c>
      <c r="AR31" s="25"/>
      <c r="AS31" s="41" t="str">
        <f t="shared" si="18"/>
        <v/>
      </c>
      <c r="AT31" s="41" t="str">
        <f t="shared" si="32"/>
        <v/>
      </c>
      <c r="AU31" s="207" t="str">
        <f>_xlfn.IFNA(VLOOKUP(AT31,YearlyCashFlow!$B$7:$M$90,offset,FALSE),"")</f>
        <v/>
      </c>
      <c r="AV31" s="46" t="str">
        <f t="shared" si="6"/>
        <v/>
      </c>
      <c r="AW31" s="25"/>
      <c r="AX31" s="41" t="str">
        <f t="shared" si="19"/>
        <v/>
      </c>
      <c r="AY31" s="41" t="str">
        <f t="shared" si="20"/>
        <v/>
      </c>
      <c r="AZ31" s="207" t="str">
        <f>_xlfn.IFNA(VLOOKUP(AY31,YearlyCashFlow!$B$7:$M$90,offset,FALSE),"")</f>
        <v/>
      </c>
      <c r="BA31" s="46" t="str">
        <f t="shared" si="7"/>
        <v/>
      </c>
      <c r="BB31" s="25"/>
      <c r="BC31" s="41" t="str">
        <f t="shared" si="21"/>
        <v/>
      </c>
      <c r="BD31" s="41" t="str">
        <f t="shared" si="22"/>
        <v/>
      </c>
      <c r="BE31" s="207" t="str">
        <f>_xlfn.IFNA(VLOOKUP(BD31,YearlyCashFlow!$B$7:$M$90,offset,FALSE),"")</f>
        <v/>
      </c>
      <c r="BF31" s="46" t="str">
        <f t="shared" si="8"/>
        <v/>
      </c>
      <c r="BG31" s="25"/>
      <c r="BH31" s="41" t="str">
        <f t="shared" si="23"/>
        <v/>
      </c>
      <c r="BI31" s="41" t="str">
        <f t="shared" si="24"/>
        <v/>
      </c>
      <c r="BJ31" s="207" t="str">
        <f>_xlfn.IFNA(VLOOKUP(BI31,YearlyCashFlow!$B$7:$M$90,offset,FALSE),"")</f>
        <v/>
      </c>
      <c r="BK31" s="46" t="str">
        <f t="shared" si="9"/>
        <v/>
      </c>
    </row>
    <row r="32" spans="1:63" ht="15.75" thickBot="1" x14ac:dyDescent="0.3">
      <c r="A32" s="1"/>
      <c r="B32" s="1"/>
      <c r="C32" s="20"/>
      <c r="D32" s="22" t="s">
        <v>34</v>
      </c>
      <c r="E32" s="20"/>
      <c r="F32" s="8" t="s">
        <v>39</v>
      </c>
      <c r="G32" s="20"/>
      <c r="H32" s="55"/>
      <c r="I32" s="25"/>
      <c r="J32" s="40" t="str">
        <f t="shared" si="10"/>
        <v/>
      </c>
      <c r="K32" s="41" t="str">
        <f t="shared" si="25"/>
        <v/>
      </c>
      <c r="L32" s="207" t="str">
        <f>_xlfn.IFNA(VLOOKUP(K32,YearlyCashFlow!$B$7:$M$90,offset,FALSE),"")</f>
        <v/>
      </c>
      <c r="M32" s="46" t="str">
        <f t="shared" si="11"/>
        <v/>
      </c>
      <c r="N32" s="25"/>
      <c r="O32" s="41" t="str">
        <f t="shared" si="12"/>
        <v/>
      </c>
      <c r="P32" s="41" t="str">
        <f t="shared" si="26"/>
        <v/>
      </c>
      <c r="Q32" s="207" t="str">
        <f>_xlfn.IFNA(VLOOKUP(P32,YearlyCashFlow!$B$7:$M$90,offset,FALSE),"")</f>
        <v/>
      </c>
      <c r="R32" s="46" t="str">
        <f t="shared" si="0"/>
        <v/>
      </c>
      <c r="S32" s="25"/>
      <c r="T32" s="41" t="str">
        <f t="shared" si="13"/>
        <v/>
      </c>
      <c r="U32" s="41" t="str">
        <f t="shared" si="27"/>
        <v/>
      </c>
      <c r="V32" s="207" t="str">
        <f>_xlfn.IFNA(VLOOKUP(U32,YearlyCashFlow!$B$7:$M$90,offset,FALSE),"")</f>
        <v/>
      </c>
      <c r="W32" s="46" t="str">
        <f t="shared" si="1"/>
        <v/>
      </c>
      <c r="X32" s="25"/>
      <c r="Y32" s="41" t="str">
        <f t="shared" si="14"/>
        <v/>
      </c>
      <c r="Z32" s="41" t="str">
        <f t="shared" si="28"/>
        <v/>
      </c>
      <c r="AA32" s="207" t="str">
        <f>_xlfn.IFNA(VLOOKUP(Z32,YearlyCashFlow!$B$7:$M$90,offset,FALSE),"")</f>
        <v/>
      </c>
      <c r="AB32" s="46" t="str">
        <f t="shared" si="2"/>
        <v/>
      </c>
      <c r="AC32" s="25"/>
      <c r="AD32" s="41" t="str">
        <f t="shared" si="15"/>
        <v/>
      </c>
      <c r="AE32" s="41" t="str">
        <f t="shared" si="29"/>
        <v/>
      </c>
      <c r="AF32" s="207" t="str">
        <f>_xlfn.IFNA(VLOOKUP(AE32,YearlyCashFlow!$B$7:$M$90,offset,FALSE),"")</f>
        <v/>
      </c>
      <c r="AG32" s="46" t="str">
        <f t="shared" si="3"/>
        <v/>
      </c>
      <c r="AH32" s="25"/>
      <c r="AI32" s="41" t="str">
        <f t="shared" si="16"/>
        <v/>
      </c>
      <c r="AJ32" s="41" t="str">
        <f t="shared" si="30"/>
        <v/>
      </c>
      <c r="AK32" s="207" t="str">
        <f>_xlfn.IFNA(VLOOKUP(AJ32,YearlyCashFlow!$B$7:$M$90,offset,FALSE),"")</f>
        <v/>
      </c>
      <c r="AL32" s="46" t="str">
        <f t="shared" si="4"/>
        <v/>
      </c>
      <c r="AM32" s="25"/>
      <c r="AN32" s="41" t="str">
        <f t="shared" si="17"/>
        <v/>
      </c>
      <c r="AO32" s="41" t="str">
        <f t="shared" si="31"/>
        <v/>
      </c>
      <c r="AP32" s="207" t="str">
        <f>_xlfn.IFNA(VLOOKUP(AO32,YearlyCashFlow!$B$7:$M$90,offset,FALSE),"")</f>
        <v/>
      </c>
      <c r="AQ32" s="46" t="str">
        <f t="shared" si="5"/>
        <v/>
      </c>
      <c r="AR32" s="25"/>
      <c r="AS32" s="41" t="str">
        <f t="shared" si="18"/>
        <v/>
      </c>
      <c r="AT32" s="41" t="str">
        <f t="shared" si="32"/>
        <v/>
      </c>
      <c r="AU32" s="207" t="str">
        <f>_xlfn.IFNA(VLOOKUP(AT32,YearlyCashFlow!$B$7:$M$90,offset,FALSE),"")</f>
        <v/>
      </c>
      <c r="AV32" s="46" t="str">
        <f t="shared" si="6"/>
        <v/>
      </c>
      <c r="AW32" s="25"/>
      <c r="AX32" s="41" t="str">
        <f t="shared" si="19"/>
        <v/>
      </c>
      <c r="AY32" s="41" t="str">
        <f t="shared" si="20"/>
        <v/>
      </c>
      <c r="AZ32" s="207" t="str">
        <f>_xlfn.IFNA(VLOOKUP(AY32,YearlyCashFlow!$B$7:$M$90,offset,FALSE),"")</f>
        <v/>
      </c>
      <c r="BA32" s="46" t="str">
        <f t="shared" si="7"/>
        <v/>
      </c>
      <c r="BB32" s="25"/>
      <c r="BC32" s="41" t="str">
        <f t="shared" si="21"/>
        <v/>
      </c>
      <c r="BD32" s="41" t="str">
        <f t="shared" si="22"/>
        <v/>
      </c>
      <c r="BE32" s="207" t="str">
        <f>_xlfn.IFNA(VLOOKUP(BD32,YearlyCashFlow!$B$7:$M$90,offset,FALSE),"")</f>
        <v/>
      </c>
      <c r="BF32" s="46" t="str">
        <f t="shared" si="8"/>
        <v/>
      </c>
      <c r="BG32" s="25"/>
      <c r="BH32" s="41" t="str">
        <f t="shared" si="23"/>
        <v/>
      </c>
      <c r="BI32" s="41" t="str">
        <f t="shared" si="24"/>
        <v/>
      </c>
      <c r="BJ32" s="207" t="str">
        <f>_xlfn.IFNA(VLOOKUP(BI32,YearlyCashFlow!$B$7:$M$90,offset,FALSE),"")</f>
        <v/>
      </c>
      <c r="BK32" s="46" t="str">
        <f t="shared" si="9"/>
        <v/>
      </c>
    </row>
    <row r="33" spans="1:63" x14ac:dyDescent="0.25">
      <c r="A33" s="18" t="s">
        <v>38</v>
      </c>
      <c r="B33" s="48"/>
      <c r="C33" s="49"/>
      <c r="D33" s="48"/>
      <c r="E33" s="48"/>
      <c r="F33" s="48"/>
      <c r="G33" s="50"/>
      <c r="H33" s="24"/>
      <c r="I33" s="25"/>
      <c r="J33" s="40" t="str">
        <f t="shared" si="10"/>
        <v/>
      </c>
      <c r="K33" s="41" t="str">
        <f t="shared" si="25"/>
        <v/>
      </c>
      <c r="L33" s="207" t="str">
        <f>_xlfn.IFNA(VLOOKUP(K33,YearlyCashFlow!$B$7:$M$90,offset,FALSE),"")</f>
        <v/>
      </c>
      <c r="M33" s="46" t="str">
        <f t="shared" si="11"/>
        <v/>
      </c>
      <c r="N33" s="25"/>
      <c r="O33" s="41" t="str">
        <f t="shared" si="12"/>
        <v/>
      </c>
      <c r="P33" s="41" t="str">
        <f t="shared" si="26"/>
        <v/>
      </c>
      <c r="Q33" s="207" t="str">
        <f>_xlfn.IFNA(VLOOKUP(P33,YearlyCashFlow!$B$7:$M$90,offset,FALSE),"")</f>
        <v/>
      </c>
      <c r="R33" s="46" t="str">
        <f t="shared" si="0"/>
        <v/>
      </c>
      <c r="S33" s="25"/>
      <c r="T33" s="41" t="str">
        <f t="shared" si="13"/>
        <v/>
      </c>
      <c r="U33" s="41" t="str">
        <f t="shared" si="27"/>
        <v/>
      </c>
      <c r="V33" s="207" t="str">
        <f>_xlfn.IFNA(VLOOKUP(U33,YearlyCashFlow!$B$7:$M$90,offset,FALSE),"")</f>
        <v/>
      </c>
      <c r="W33" s="46" t="str">
        <f t="shared" si="1"/>
        <v/>
      </c>
      <c r="X33" s="25"/>
      <c r="Y33" s="41" t="str">
        <f t="shared" si="14"/>
        <v/>
      </c>
      <c r="Z33" s="41" t="str">
        <f t="shared" si="28"/>
        <v/>
      </c>
      <c r="AA33" s="207" t="str">
        <f>_xlfn.IFNA(VLOOKUP(Z33,YearlyCashFlow!$B$7:$M$90,offset,FALSE),"")</f>
        <v/>
      </c>
      <c r="AB33" s="46" t="str">
        <f t="shared" si="2"/>
        <v/>
      </c>
      <c r="AC33" s="25"/>
      <c r="AD33" s="41" t="str">
        <f t="shared" si="15"/>
        <v/>
      </c>
      <c r="AE33" s="41" t="str">
        <f t="shared" si="29"/>
        <v/>
      </c>
      <c r="AF33" s="207" t="str">
        <f>_xlfn.IFNA(VLOOKUP(AE33,YearlyCashFlow!$B$7:$M$90,offset,FALSE),"")</f>
        <v/>
      </c>
      <c r="AG33" s="46" t="str">
        <f t="shared" si="3"/>
        <v/>
      </c>
      <c r="AH33" s="25"/>
      <c r="AI33" s="41" t="str">
        <f t="shared" si="16"/>
        <v/>
      </c>
      <c r="AJ33" s="41" t="str">
        <f t="shared" si="30"/>
        <v/>
      </c>
      <c r="AK33" s="207" t="str">
        <f>_xlfn.IFNA(VLOOKUP(AJ33,YearlyCashFlow!$B$7:$M$90,offset,FALSE),"")</f>
        <v/>
      </c>
      <c r="AL33" s="46" t="str">
        <f t="shared" si="4"/>
        <v/>
      </c>
      <c r="AM33" s="25"/>
      <c r="AN33" s="41" t="str">
        <f t="shared" si="17"/>
        <v/>
      </c>
      <c r="AO33" s="41" t="str">
        <f t="shared" si="31"/>
        <v/>
      </c>
      <c r="AP33" s="207" t="str">
        <f>_xlfn.IFNA(VLOOKUP(AO33,YearlyCashFlow!$B$7:$M$90,offset,FALSE),"")</f>
        <v/>
      </c>
      <c r="AQ33" s="46" t="str">
        <f t="shared" si="5"/>
        <v/>
      </c>
      <c r="AR33" s="25"/>
      <c r="AS33" s="41" t="str">
        <f t="shared" si="18"/>
        <v/>
      </c>
      <c r="AT33" s="41" t="str">
        <f t="shared" si="32"/>
        <v/>
      </c>
      <c r="AU33" s="207" t="str">
        <f>_xlfn.IFNA(VLOOKUP(AT33,YearlyCashFlow!$B$7:$M$90,offset,FALSE),"")</f>
        <v/>
      </c>
      <c r="AV33" s="46" t="str">
        <f t="shared" si="6"/>
        <v/>
      </c>
      <c r="AW33" s="25"/>
      <c r="AX33" s="41" t="str">
        <f t="shared" si="19"/>
        <v/>
      </c>
      <c r="AY33" s="41" t="str">
        <f t="shared" si="20"/>
        <v/>
      </c>
      <c r="AZ33" s="207" t="str">
        <f>_xlfn.IFNA(VLOOKUP(AY33,YearlyCashFlow!$B$7:$M$90,offset,FALSE),"")</f>
        <v/>
      </c>
      <c r="BA33" s="46" t="str">
        <f t="shared" si="7"/>
        <v/>
      </c>
      <c r="BB33" s="25"/>
      <c r="BC33" s="41" t="str">
        <f t="shared" si="21"/>
        <v/>
      </c>
      <c r="BD33" s="41" t="str">
        <f t="shared" si="22"/>
        <v/>
      </c>
      <c r="BE33" s="207" t="str">
        <f>_xlfn.IFNA(VLOOKUP(BD33,YearlyCashFlow!$B$7:$M$90,offset,FALSE),"")</f>
        <v/>
      </c>
      <c r="BF33" s="46" t="str">
        <f t="shared" si="8"/>
        <v/>
      </c>
      <c r="BG33" s="25"/>
      <c r="BH33" s="41" t="str">
        <f t="shared" si="23"/>
        <v/>
      </c>
      <c r="BI33" s="41" t="str">
        <f t="shared" si="24"/>
        <v/>
      </c>
      <c r="BJ33" s="207" t="str">
        <f>_xlfn.IFNA(VLOOKUP(BI33,YearlyCashFlow!$B$7:$M$90,offset,FALSE),"")</f>
        <v/>
      </c>
      <c r="BK33" s="46" t="str">
        <f t="shared" si="9"/>
        <v/>
      </c>
    </row>
    <row r="34" spans="1:63" ht="15.75" thickBot="1" x14ac:dyDescent="0.3">
      <c r="A34" s="132" t="s">
        <v>166</v>
      </c>
      <c r="B34" s="52"/>
      <c r="C34" s="53"/>
      <c r="D34" s="52"/>
      <c r="E34" s="52"/>
      <c r="F34" s="52"/>
      <c r="G34" s="54"/>
      <c r="H34" s="24"/>
      <c r="I34" s="25"/>
      <c r="J34" s="40" t="str">
        <f t="shared" si="10"/>
        <v/>
      </c>
      <c r="K34" s="41" t="str">
        <f t="shared" si="25"/>
        <v/>
      </c>
      <c r="L34" s="207" t="str">
        <f>_xlfn.IFNA(VLOOKUP(K34,YearlyCashFlow!$B$7:$M$90,offset,FALSE),"")</f>
        <v/>
      </c>
      <c r="M34" s="46" t="str">
        <f t="shared" si="11"/>
        <v/>
      </c>
      <c r="N34" s="25"/>
      <c r="O34" s="41" t="str">
        <f t="shared" si="12"/>
        <v/>
      </c>
      <c r="P34" s="41" t="str">
        <f t="shared" si="26"/>
        <v/>
      </c>
      <c r="Q34" s="207" t="str">
        <f>_xlfn.IFNA(VLOOKUP(P34,YearlyCashFlow!$B$7:$M$90,offset,FALSE),"")</f>
        <v/>
      </c>
      <c r="R34" s="46" t="str">
        <f t="shared" si="0"/>
        <v/>
      </c>
      <c r="S34" s="25"/>
      <c r="T34" s="41" t="str">
        <f t="shared" si="13"/>
        <v/>
      </c>
      <c r="U34" s="41" t="str">
        <f t="shared" si="27"/>
        <v/>
      </c>
      <c r="V34" s="207" t="str">
        <f>_xlfn.IFNA(VLOOKUP(U34,YearlyCashFlow!$B$7:$M$90,offset,FALSE),"")</f>
        <v/>
      </c>
      <c r="W34" s="46" t="str">
        <f t="shared" si="1"/>
        <v/>
      </c>
      <c r="X34" s="25"/>
      <c r="Y34" s="41" t="str">
        <f t="shared" si="14"/>
        <v/>
      </c>
      <c r="Z34" s="41" t="str">
        <f t="shared" si="28"/>
        <v/>
      </c>
      <c r="AA34" s="207" t="str">
        <f>_xlfn.IFNA(VLOOKUP(Z34,YearlyCashFlow!$B$7:$M$90,offset,FALSE),"")</f>
        <v/>
      </c>
      <c r="AB34" s="46" t="str">
        <f t="shared" si="2"/>
        <v/>
      </c>
      <c r="AC34" s="25"/>
      <c r="AD34" s="41" t="str">
        <f t="shared" si="15"/>
        <v/>
      </c>
      <c r="AE34" s="41" t="str">
        <f t="shared" si="29"/>
        <v/>
      </c>
      <c r="AF34" s="207" t="str">
        <f>_xlfn.IFNA(VLOOKUP(AE34,YearlyCashFlow!$B$7:$M$90,offset,FALSE),"")</f>
        <v/>
      </c>
      <c r="AG34" s="46" t="str">
        <f t="shared" si="3"/>
        <v/>
      </c>
      <c r="AH34" s="25"/>
      <c r="AI34" s="41" t="str">
        <f t="shared" si="16"/>
        <v/>
      </c>
      <c r="AJ34" s="41" t="str">
        <f t="shared" si="30"/>
        <v/>
      </c>
      <c r="AK34" s="207" t="str">
        <f>_xlfn.IFNA(VLOOKUP(AJ34,YearlyCashFlow!$B$7:$M$90,offset,FALSE),"")</f>
        <v/>
      </c>
      <c r="AL34" s="46" t="str">
        <f t="shared" si="4"/>
        <v/>
      </c>
      <c r="AM34" s="25"/>
      <c r="AN34" s="41" t="str">
        <f t="shared" si="17"/>
        <v/>
      </c>
      <c r="AO34" s="41" t="str">
        <f t="shared" si="31"/>
        <v/>
      </c>
      <c r="AP34" s="207" t="str">
        <f>_xlfn.IFNA(VLOOKUP(AO34,YearlyCashFlow!$B$7:$M$90,offset,FALSE),"")</f>
        <v/>
      </c>
      <c r="AQ34" s="46" t="str">
        <f t="shared" si="5"/>
        <v/>
      </c>
      <c r="AR34" s="25"/>
      <c r="AS34" s="41" t="str">
        <f t="shared" si="18"/>
        <v/>
      </c>
      <c r="AT34" s="41" t="str">
        <f t="shared" si="32"/>
        <v/>
      </c>
      <c r="AU34" s="207" t="str">
        <f>_xlfn.IFNA(VLOOKUP(AT34,YearlyCashFlow!$B$7:$M$90,offset,FALSE),"")</f>
        <v/>
      </c>
      <c r="AV34" s="46" t="str">
        <f t="shared" si="6"/>
        <v/>
      </c>
      <c r="AW34" s="25"/>
      <c r="AX34" s="41" t="str">
        <f t="shared" si="19"/>
        <v/>
      </c>
      <c r="AY34" s="41" t="str">
        <f t="shared" si="20"/>
        <v/>
      </c>
      <c r="AZ34" s="207" t="str">
        <f>_xlfn.IFNA(VLOOKUP(AY34,YearlyCashFlow!$B$7:$M$90,offset,FALSE),"")</f>
        <v/>
      </c>
      <c r="BA34" s="46" t="str">
        <f t="shared" si="7"/>
        <v/>
      </c>
      <c r="BB34" s="25"/>
      <c r="BC34" s="41" t="str">
        <f t="shared" si="21"/>
        <v/>
      </c>
      <c r="BD34" s="41" t="str">
        <f t="shared" si="22"/>
        <v/>
      </c>
      <c r="BE34" s="207" t="str">
        <f>_xlfn.IFNA(VLOOKUP(BD34,YearlyCashFlow!$B$7:$M$90,offset,FALSE),"")</f>
        <v/>
      </c>
      <c r="BF34" s="46" t="str">
        <f t="shared" si="8"/>
        <v/>
      </c>
      <c r="BG34" s="25"/>
      <c r="BH34" s="41" t="str">
        <f t="shared" si="23"/>
        <v/>
      </c>
      <c r="BI34" s="41" t="str">
        <f t="shared" si="24"/>
        <v/>
      </c>
      <c r="BJ34" s="207" t="str">
        <f>_xlfn.IFNA(VLOOKUP(BI34,YearlyCashFlow!$B$7:$M$90,offset,FALSE),"")</f>
        <v/>
      </c>
      <c r="BK34" s="46" t="str">
        <f t="shared" si="9"/>
        <v/>
      </c>
    </row>
    <row r="35" spans="1:63" x14ac:dyDescent="0.25">
      <c r="A35" s="1"/>
      <c r="B35" s="20"/>
      <c r="C35" s="1"/>
      <c r="E35" s="1"/>
      <c r="G35" s="1"/>
      <c r="H35" s="24"/>
      <c r="I35" s="25"/>
      <c r="J35" s="40" t="str">
        <f t="shared" si="10"/>
        <v/>
      </c>
      <c r="K35" s="41" t="str">
        <f t="shared" si="25"/>
        <v/>
      </c>
      <c r="L35" s="207" t="str">
        <f>_xlfn.IFNA(VLOOKUP(K35,YearlyCashFlow!$B$7:$M$90,offset,FALSE),"")</f>
        <v/>
      </c>
      <c r="M35" s="46" t="str">
        <f t="shared" si="11"/>
        <v/>
      </c>
      <c r="N35" s="25"/>
      <c r="O35" s="41" t="str">
        <f t="shared" si="12"/>
        <v/>
      </c>
      <c r="P35" s="41" t="str">
        <f t="shared" si="26"/>
        <v/>
      </c>
      <c r="Q35" s="207" t="str">
        <f>_xlfn.IFNA(VLOOKUP(P35,YearlyCashFlow!$B$7:$M$90,offset,FALSE),"")</f>
        <v/>
      </c>
      <c r="R35" s="46" t="str">
        <f t="shared" si="0"/>
        <v/>
      </c>
      <c r="S35" s="25"/>
      <c r="T35" s="41" t="str">
        <f t="shared" si="13"/>
        <v/>
      </c>
      <c r="U35" s="41" t="str">
        <f t="shared" si="27"/>
        <v/>
      </c>
      <c r="V35" s="207" t="str">
        <f>_xlfn.IFNA(VLOOKUP(U35,YearlyCashFlow!$B$7:$M$90,offset,FALSE),"")</f>
        <v/>
      </c>
      <c r="W35" s="46" t="str">
        <f t="shared" si="1"/>
        <v/>
      </c>
      <c r="X35" s="25"/>
      <c r="Y35" s="41" t="str">
        <f t="shared" si="14"/>
        <v/>
      </c>
      <c r="Z35" s="41" t="str">
        <f t="shared" si="28"/>
        <v/>
      </c>
      <c r="AA35" s="207" t="str">
        <f>_xlfn.IFNA(VLOOKUP(Z35,YearlyCashFlow!$B$7:$M$90,offset,FALSE),"")</f>
        <v/>
      </c>
      <c r="AB35" s="46" t="str">
        <f t="shared" si="2"/>
        <v/>
      </c>
      <c r="AC35" s="25"/>
      <c r="AD35" s="41" t="str">
        <f t="shared" si="15"/>
        <v/>
      </c>
      <c r="AE35" s="41" t="str">
        <f t="shared" si="29"/>
        <v/>
      </c>
      <c r="AF35" s="207" t="str">
        <f>_xlfn.IFNA(VLOOKUP(AE35,YearlyCashFlow!$B$7:$M$90,offset,FALSE),"")</f>
        <v/>
      </c>
      <c r="AG35" s="46" t="str">
        <f t="shared" si="3"/>
        <v/>
      </c>
      <c r="AH35" s="25"/>
      <c r="AI35" s="41" t="str">
        <f t="shared" si="16"/>
        <v/>
      </c>
      <c r="AJ35" s="41" t="str">
        <f t="shared" si="30"/>
        <v/>
      </c>
      <c r="AK35" s="207" t="str">
        <f>_xlfn.IFNA(VLOOKUP(AJ35,YearlyCashFlow!$B$7:$M$90,offset,FALSE),"")</f>
        <v/>
      </c>
      <c r="AL35" s="46" t="str">
        <f t="shared" si="4"/>
        <v/>
      </c>
      <c r="AM35" s="25"/>
      <c r="AN35" s="41" t="str">
        <f t="shared" si="17"/>
        <v/>
      </c>
      <c r="AO35" s="41" t="str">
        <f t="shared" si="31"/>
        <v/>
      </c>
      <c r="AP35" s="207" t="str">
        <f>_xlfn.IFNA(VLOOKUP(AO35,YearlyCashFlow!$B$7:$M$90,offset,FALSE),"")</f>
        <v/>
      </c>
      <c r="AQ35" s="46" t="str">
        <f t="shared" si="5"/>
        <v/>
      </c>
      <c r="AR35" s="25"/>
      <c r="AS35" s="41" t="str">
        <f t="shared" si="18"/>
        <v/>
      </c>
      <c r="AT35" s="41" t="str">
        <f t="shared" si="32"/>
        <v/>
      </c>
      <c r="AU35" s="207" t="str">
        <f>_xlfn.IFNA(VLOOKUP(AT35,YearlyCashFlow!$B$7:$M$90,offset,FALSE),"")</f>
        <v/>
      </c>
      <c r="AV35" s="46" t="str">
        <f t="shared" si="6"/>
        <v/>
      </c>
      <c r="AW35" s="25"/>
      <c r="AX35" s="41" t="str">
        <f t="shared" si="19"/>
        <v/>
      </c>
      <c r="AY35" s="41" t="str">
        <f t="shared" si="20"/>
        <v/>
      </c>
      <c r="AZ35" s="207" t="str">
        <f>_xlfn.IFNA(VLOOKUP(AY35,YearlyCashFlow!$B$7:$M$90,offset,FALSE),"")</f>
        <v/>
      </c>
      <c r="BA35" s="46" t="str">
        <f t="shared" si="7"/>
        <v/>
      </c>
      <c r="BB35" s="25"/>
      <c r="BC35" s="41" t="str">
        <f t="shared" si="21"/>
        <v/>
      </c>
      <c r="BD35" s="41" t="str">
        <f t="shared" si="22"/>
        <v/>
      </c>
      <c r="BE35" s="207" t="str">
        <f>_xlfn.IFNA(VLOOKUP(BD35,YearlyCashFlow!$B$7:$M$90,offset,FALSE),"")</f>
        <v/>
      </c>
      <c r="BF35" s="46" t="str">
        <f t="shared" si="8"/>
        <v/>
      </c>
      <c r="BG35" s="25"/>
      <c r="BH35" s="41" t="str">
        <f t="shared" si="23"/>
        <v/>
      </c>
      <c r="BI35" s="41" t="str">
        <f t="shared" si="24"/>
        <v/>
      </c>
      <c r="BJ35" s="207" t="str">
        <f>_xlfn.IFNA(VLOOKUP(BI35,YearlyCashFlow!$B$7:$M$90,offset,FALSE),"")</f>
        <v/>
      </c>
      <c r="BK35" s="46" t="str">
        <f t="shared" si="9"/>
        <v/>
      </c>
    </row>
    <row r="36" spans="1:63" x14ac:dyDescent="0.25">
      <c r="A36" s="1"/>
      <c r="B36" s="20"/>
      <c r="C36" s="1"/>
      <c r="E36" s="1"/>
      <c r="G36" s="1"/>
      <c r="H36" s="24"/>
      <c r="I36" s="25"/>
      <c r="J36" s="40" t="str">
        <f t="shared" si="10"/>
        <v/>
      </c>
      <c r="K36" s="41" t="str">
        <f t="shared" si="25"/>
        <v/>
      </c>
      <c r="L36" s="207" t="str">
        <f>_xlfn.IFNA(VLOOKUP(K36,YearlyCashFlow!$B$7:$M$90,offset,FALSE),"")</f>
        <v/>
      </c>
      <c r="M36" s="46" t="str">
        <f t="shared" si="11"/>
        <v/>
      </c>
      <c r="N36" s="25"/>
      <c r="O36" s="41" t="str">
        <f t="shared" si="12"/>
        <v/>
      </c>
      <c r="P36" s="41" t="str">
        <f t="shared" si="26"/>
        <v/>
      </c>
      <c r="Q36" s="207" t="str">
        <f>_xlfn.IFNA(VLOOKUP(P36,YearlyCashFlow!$B$7:$M$90,offset,FALSE),"")</f>
        <v/>
      </c>
      <c r="R36" s="46" t="str">
        <f t="shared" si="0"/>
        <v/>
      </c>
      <c r="S36" s="25"/>
      <c r="T36" s="41" t="str">
        <f t="shared" si="13"/>
        <v/>
      </c>
      <c r="U36" s="41" t="str">
        <f t="shared" si="27"/>
        <v/>
      </c>
      <c r="V36" s="207" t="str">
        <f>_xlfn.IFNA(VLOOKUP(U36,YearlyCashFlow!$B$7:$M$90,offset,FALSE),"")</f>
        <v/>
      </c>
      <c r="W36" s="46" t="str">
        <f t="shared" si="1"/>
        <v/>
      </c>
      <c r="X36" s="25"/>
      <c r="Y36" s="41" t="str">
        <f t="shared" si="14"/>
        <v/>
      </c>
      <c r="Z36" s="41" t="str">
        <f t="shared" si="28"/>
        <v/>
      </c>
      <c r="AA36" s="207" t="str">
        <f>_xlfn.IFNA(VLOOKUP(Z36,YearlyCashFlow!$B$7:$M$90,offset,FALSE),"")</f>
        <v/>
      </c>
      <c r="AB36" s="46" t="str">
        <f t="shared" si="2"/>
        <v/>
      </c>
      <c r="AC36" s="25"/>
      <c r="AD36" s="41" t="str">
        <f t="shared" si="15"/>
        <v/>
      </c>
      <c r="AE36" s="41" t="str">
        <f t="shared" si="29"/>
        <v/>
      </c>
      <c r="AF36" s="207" t="str">
        <f>_xlfn.IFNA(VLOOKUP(AE36,YearlyCashFlow!$B$7:$M$90,offset,FALSE),"")</f>
        <v/>
      </c>
      <c r="AG36" s="46" t="str">
        <f t="shared" si="3"/>
        <v/>
      </c>
      <c r="AH36" s="25"/>
      <c r="AI36" s="41" t="str">
        <f t="shared" si="16"/>
        <v/>
      </c>
      <c r="AJ36" s="41" t="str">
        <f t="shared" si="30"/>
        <v/>
      </c>
      <c r="AK36" s="207" t="str">
        <f>_xlfn.IFNA(VLOOKUP(AJ36,YearlyCashFlow!$B$7:$M$90,offset,FALSE),"")</f>
        <v/>
      </c>
      <c r="AL36" s="46" t="str">
        <f t="shared" si="4"/>
        <v/>
      </c>
      <c r="AM36" s="25"/>
      <c r="AN36" s="41" t="str">
        <f t="shared" si="17"/>
        <v/>
      </c>
      <c r="AO36" s="41" t="str">
        <f t="shared" si="31"/>
        <v/>
      </c>
      <c r="AP36" s="207" t="str">
        <f>_xlfn.IFNA(VLOOKUP(AO36,YearlyCashFlow!$B$7:$M$90,offset,FALSE),"")</f>
        <v/>
      </c>
      <c r="AQ36" s="46" t="str">
        <f t="shared" si="5"/>
        <v/>
      </c>
      <c r="AR36" s="25"/>
      <c r="AS36" s="41" t="str">
        <f t="shared" si="18"/>
        <v/>
      </c>
      <c r="AT36" s="41" t="str">
        <f t="shared" si="32"/>
        <v/>
      </c>
      <c r="AU36" s="207" t="str">
        <f>_xlfn.IFNA(VLOOKUP(AT36,YearlyCashFlow!$B$7:$M$90,offset,FALSE),"")</f>
        <v/>
      </c>
      <c r="AV36" s="46" t="str">
        <f t="shared" si="6"/>
        <v/>
      </c>
      <c r="AW36" s="25"/>
      <c r="AX36" s="41" t="str">
        <f t="shared" si="19"/>
        <v/>
      </c>
      <c r="AY36" s="41" t="str">
        <f t="shared" si="20"/>
        <v/>
      </c>
      <c r="AZ36" s="207" t="str">
        <f>_xlfn.IFNA(VLOOKUP(AY36,YearlyCashFlow!$B$7:$M$90,offset,FALSE),"")</f>
        <v/>
      </c>
      <c r="BA36" s="46" t="str">
        <f t="shared" si="7"/>
        <v/>
      </c>
      <c r="BB36" s="25"/>
      <c r="BC36" s="41" t="str">
        <f t="shared" si="21"/>
        <v/>
      </c>
      <c r="BD36" s="41" t="str">
        <f t="shared" si="22"/>
        <v/>
      </c>
      <c r="BE36" s="207" t="str">
        <f>_xlfn.IFNA(VLOOKUP(BD36,YearlyCashFlow!$B$7:$M$90,offset,FALSE),"")</f>
        <v/>
      </c>
      <c r="BF36" s="46" t="str">
        <f t="shared" si="8"/>
        <v/>
      </c>
      <c r="BG36" s="25"/>
      <c r="BH36" s="41" t="str">
        <f t="shared" si="23"/>
        <v/>
      </c>
      <c r="BI36" s="41" t="str">
        <f t="shared" si="24"/>
        <v/>
      </c>
      <c r="BJ36" s="207" t="str">
        <f>_xlfn.IFNA(VLOOKUP(BI36,YearlyCashFlow!$B$7:$M$90,offset,FALSE),"")</f>
        <v/>
      </c>
      <c r="BK36" s="46" t="str">
        <f t="shared" si="9"/>
        <v/>
      </c>
    </row>
    <row r="37" spans="1:63" x14ac:dyDescent="0.25">
      <c r="A37" s="1"/>
      <c r="B37" s="20"/>
      <c r="C37" s="1"/>
      <c r="E37" s="1"/>
      <c r="G37" s="1"/>
      <c r="H37" s="24"/>
      <c r="I37" s="25"/>
      <c r="J37" s="40" t="str">
        <f t="shared" si="10"/>
        <v/>
      </c>
      <c r="K37" s="41" t="str">
        <f t="shared" si="25"/>
        <v/>
      </c>
      <c r="L37" s="207" t="str">
        <f>_xlfn.IFNA(VLOOKUP(K37,YearlyCashFlow!$B$7:$M$90,offset,FALSE),"")</f>
        <v/>
      </c>
      <c r="M37" s="46" t="str">
        <f t="shared" si="11"/>
        <v/>
      </c>
      <c r="N37" s="25"/>
      <c r="O37" s="41" t="str">
        <f t="shared" si="12"/>
        <v/>
      </c>
      <c r="P37" s="41" t="str">
        <f t="shared" si="26"/>
        <v/>
      </c>
      <c r="Q37" s="207" t="str">
        <f>_xlfn.IFNA(VLOOKUP(P37,YearlyCashFlow!$B$7:$M$90,offset,FALSE),"")</f>
        <v/>
      </c>
      <c r="R37" s="46" t="str">
        <f t="shared" si="0"/>
        <v/>
      </c>
      <c r="S37" s="25"/>
      <c r="T37" s="41" t="str">
        <f t="shared" si="13"/>
        <v/>
      </c>
      <c r="U37" s="41" t="str">
        <f t="shared" si="27"/>
        <v/>
      </c>
      <c r="V37" s="207" t="str">
        <f>_xlfn.IFNA(VLOOKUP(U37,YearlyCashFlow!$B$7:$M$90,offset,FALSE),"")</f>
        <v/>
      </c>
      <c r="W37" s="46" t="str">
        <f t="shared" si="1"/>
        <v/>
      </c>
      <c r="X37" s="25"/>
      <c r="Y37" s="41" t="str">
        <f t="shared" si="14"/>
        <v/>
      </c>
      <c r="Z37" s="41" t="str">
        <f t="shared" si="28"/>
        <v/>
      </c>
      <c r="AA37" s="207" t="str">
        <f>_xlfn.IFNA(VLOOKUP(Z37,YearlyCashFlow!$B$7:$M$90,offset,FALSE),"")</f>
        <v/>
      </c>
      <c r="AB37" s="46" t="str">
        <f t="shared" si="2"/>
        <v/>
      </c>
      <c r="AC37" s="25"/>
      <c r="AD37" s="41" t="str">
        <f t="shared" si="15"/>
        <v/>
      </c>
      <c r="AE37" s="41" t="str">
        <f t="shared" si="29"/>
        <v/>
      </c>
      <c r="AF37" s="207" t="str">
        <f>_xlfn.IFNA(VLOOKUP(AE37,YearlyCashFlow!$B$7:$M$90,offset,FALSE),"")</f>
        <v/>
      </c>
      <c r="AG37" s="46" t="str">
        <f t="shared" si="3"/>
        <v/>
      </c>
      <c r="AH37" s="25"/>
      <c r="AI37" s="41" t="str">
        <f t="shared" si="16"/>
        <v/>
      </c>
      <c r="AJ37" s="41" t="str">
        <f t="shared" si="30"/>
        <v/>
      </c>
      <c r="AK37" s="207" t="str">
        <f>_xlfn.IFNA(VLOOKUP(AJ37,YearlyCashFlow!$B$7:$M$90,offset,FALSE),"")</f>
        <v/>
      </c>
      <c r="AL37" s="46" t="str">
        <f t="shared" si="4"/>
        <v/>
      </c>
      <c r="AM37" s="25"/>
      <c r="AN37" s="41" t="str">
        <f t="shared" si="17"/>
        <v/>
      </c>
      <c r="AO37" s="41" t="str">
        <f t="shared" si="31"/>
        <v/>
      </c>
      <c r="AP37" s="207" t="str">
        <f>_xlfn.IFNA(VLOOKUP(AO37,YearlyCashFlow!$B$7:$M$90,offset,FALSE),"")</f>
        <v/>
      </c>
      <c r="AQ37" s="46" t="str">
        <f t="shared" si="5"/>
        <v/>
      </c>
      <c r="AR37" s="25"/>
      <c r="AS37" s="41" t="str">
        <f t="shared" si="18"/>
        <v/>
      </c>
      <c r="AT37" s="41" t="str">
        <f t="shared" si="32"/>
        <v/>
      </c>
      <c r="AU37" s="207" t="str">
        <f>_xlfn.IFNA(VLOOKUP(AT37,YearlyCashFlow!$B$7:$M$90,offset,FALSE),"")</f>
        <v/>
      </c>
      <c r="AV37" s="46" t="str">
        <f t="shared" si="6"/>
        <v/>
      </c>
      <c r="AW37" s="25"/>
      <c r="AX37" s="41" t="str">
        <f t="shared" si="19"/>
        <v/>
      </c>
      <c r="AY37" s="41" t="str">
        <f t="shared" si="20"/>
        <v/>
      </c>
      <c r="AZ37" s="207" t="str">
        <f>_xlfn.IFNA(VLOOKUP(AY37,YearlyCashFlow!$B$7:$M$90,offset,FALSE),"")</f>
        <v/>
      </c>
      <c r="BA37" s="46" t="str">
        <f t="shared" si="7"/>
        <v/>
      </c>
      <c r="BB37" s="25"/>
      <c r="BC37" s="41" t="str">
        <f t="shared" si="21"/>
        <v/>
      </c>
      <c r="BD37" s="41" t="str">
        <f t="shared" si="22"/>
        <v/>
      </c>
      <c r="BE37" s="207" t="str">
        <f>_xlfn.IFNA(VLOOKUP(BD37,YearlyCashFlow!$B$7:$M$90,offset,FALSE),"")</f>
        <v/>
      </c>
      <c r="BF37" s="46" t="str">
        <f t="shared" si="8"/>
        <v/>
      </c>
      <c r="BG37" s="25"/>
      <c r="BH37" s="41" t="str">
        <f t="shared" si="23"/>
        <v/>
      </c>
      <c r="BI37" s="41" t="str">
        <f t="shared" si="24"/>
        <v/>
      </c>
      <c r="BJ37" s="207" t="str">
        <f>_xlfn.IFNA(VLOOKUP(BI37,YearlyCashFlow!$B$7:$M$90,offset,FALSE),"")</f>
        <v/>
      </c>
      <c r="BK37" s="46" t="str">
        <f t="shared" si="9"/>
        <v/>
      </c>
    </row>
    <row r="38" spans="1:63" x14ac:dyDescent="0.25">
      <c r="A38" s="1"/>
      <c r="B38" s="20"/>
      <c r="C38" s="1"/>
      <c r="E38" s="1"/>
      <c r="G38" s="1"/>
      <c r="H38" s="24"/>
      <c r="I38" s="25"/>
      <c r="J38" s="40" t="str">
        <f t="shared" si="10"/>
        <v/>
      </c>
      <c r="K38" s="41" t="str">
        <f t="shared" si="25"/>
        <v/>
      </c>
      <c r="L38" s="207" t="str">
        <f>_xlfn.IFNA(VLOOKUP(K38,YearlyCashFlow!$B$7:$M$90,offset,FALSE),"")</f>
        <v/>
      </c>
      <c r="M38" s="46" t="str">
        <f t="shared" si="11"/>
        <v/>
      </c>
      <c r="N38" s="25"/>
      <c r="O38" s="41" t="str">
        <f t="shared" si="12"/>
        <v/>
      </c>
      <c r="P38" s="41" t="str">
        <f t="shared" si="26"/>
        <v/>
      </c>
      <c r="Q38" s="207" t="str">
        <f>_xlfn.IFNA(VLOOKUP(P38,YearlyCashFlow!$B$7:$M$90,offset,FALSE),"")</f>
        <v/>
      </c>
      <c r="R38" s="46" t="str">
        <f t="shared" si="0"/>
        <v/>
      </c>
      <c r="S38" s="25"/>
      <c r="T38" s="41" t="str">
        <f t="shared" si="13"/>
        <v/>
      </c>
      <c r="U38" s="41" t="str">
        <f t="shared" si="27"/>
        <v/>
      </c>
      <c r="V38" s="207" t="str">
        <f>_xlfn.IFNA(VLOOKUP(U38,YearlyCashFlow!$B$7:$M$90,offset,FALSE),"")</f>
        <v/>
      </c>
      <c r="W38" s="46" t="str">
        <f t="shared" si="1"/>
        <v/>
      </c>
      <c r="X38" s="25"/>
      <c r="Y38" s="41" t="str">
        <f t="shared" si="14"/>
        <v/>
      </c>
      <c r="Z38" s="41" t="str">
        <f t="shared" si="28"/>
        <v/>
      </c>
      <c r="AA38" s="207" t="str">
        <f>_xlfn.IFNA(VLOOKUP(Z38,YearlyCashFlow!$B$7:$M$90,offset,FALSE),"")</f>
        <v/>
      </c>
      <c r="AB38" s="46" t="str">
        <f t="shared" si="2"/>
        <v/>
      </c>
      <c r="AC38" s="25"/>
      <c r="AD38" s="41" t="str">
        <f t="shared" si="15"/>
        <v/>
      </c>
      <c r="AE38" s="41" t="str">
        <f t="shared" si="29"/>
        <v/>
      </c>
      <c r="AF38" s="207" t="str">
        <f>_xlfn.IFNA(VLOOKUP(AE38,YearlyCashFlow!$B$7:$M$90,offset,FALSE),"")</f>
        <v/>
      </c>
      <c r="AG38" s="46" t="str">
        <f t="shared" si="3"/>
        <v/>
      </c>
      <c r="AH38" s="25"/>
      <c r="AI38" s="41" t="str">
        <f t="shared" si="16"/>
        <v/>
      </c>
      <c r="AJ38" s="41" t="str">
        <f t="shared" si="30"/>
        <v/>
      </c>
      <c r="AK38" s="207" t="str">
        <f>_xlfn.IFNA(VLOOKUP(AJ38,YearlyCashFlow!$B$7:$M$90,offset,FALSE),"")</f>
        <v/>
      </c>
      <c r="AL38" s="46" t="str">
        <f t="shared" si="4"/>
        <v/>
      </c>
      <c r="AM38" s="25"/>
      <c r="AN38" s="41" t="str">
        <f t="shared" si="17"/>
        <v/>
      </c>
      <c r="AO38" s="41" t="str">
        <f t="shared" si="31"/>
        <v/>
      </c>
      <c r="AP38" s="207" t="str">
        <f>_xlfn.IFNA(VLOOKUP(AO38,YearlyCashFlow!$B$7:$M$90,offset,FALSE),"")</f>
        <v/>
      </c>
      <c r="AQ38" s="46" t="str">
        <f t="shared" si="5"/>
        <v/>
      </c>
      <c r="AR38" s="25"/>
      <c r="AS38" s="41" t="str">
        <f t="shared" si="18"/>
        <v/>
      </c>
      <c r="AT38" s="41" t="str">
        <f t="shared" si="32"/>
        <v/>
      </c>
      <c r="AU38" s="207" t="str">
        <f>_xlfn.IFNA(VLOOKUP(AT38,YearlyCashFlow!$B$7:$M$90,offset,FALSE),"")</f>
        <v/>
      </c>
      <c r="AV38" s="46" t="str">
        <f t="shared" si="6"/>
        <v/>
      </c>
      <c r="AW38" s="25"/>
      <c r="AX38" s="41" t="str">
        <f t="shared" si="19"/>
        <v/>
      </c>
      <c r="AY38" s="41" t="str">
        <f t="shared" si="20"/>
        <v/>
      </c>
      <c r="AZ38" s="207" t="str">
        <f>_xlfn.IFNA(VLOOKUP(AY38,YearlyCashFlow!$B$7:$M$90,offset,FALSE),"")</f>
        <v/>
      </c>
      <c r="BA38" s="46" t="str">
        <f t="shared" si="7"/>
        <v/>
      </c>
      <c r="BB38" s="25"/>
      <c r="BC38" s="41" t="str">
        <f t="shared" si="21"/>
        <v/>
      </c>
      <c r="BD38" s="41" t="str">
        <f t="shared" si="22"/>
        <v/>
      </c>
      <c r="BE38" s="207" t="str">
        <f>_xlfn.IFNA(VLOOKUP(BD38,YearlyCashFlow!$B$7:$M$90,offset,FALSE),"")</f>
        <v/>
      </c>
      <c r="BF38" s="46" t="str">
        <f t="shared" si="8"/>
        <v/>
      </c>
      <c r="BG38" s="25"/>
      <c r="BH38" s="41" t="str">
        <f t="shared" si="23"/>
        <v/>
      </c>
      <c r="BI38" s="41" t="str">
        <f t="shared" si="24"/>
        <v/>
      </c>
      <c r="BJ38" s="207" t="str">
        <f>_xlfn.IFNA(VLOOKUP(BI38,YearlyCashFlow!$B$7:$M$90,offset,FALSE),"")</f>
        <v/>
      </c>
      <c r="BK38" s="46" t="str">
        <f t="shared" si="9"/>
        <v/>
      </c>
    </row>
    <row r="39" spans="1:63" ht="15.75" thickBot="1" x14ac:dyDescent="0.3">
      <c r="A39" s="1"/>
      <c r="B39" s="20"/>
      <c r="C39" s="1"/>
      <c r="E39" s="1"/>
      <c r="G39" s="1"/>
      <c r="H39" s="24"/>
      <c r="I39" s="56"/>
      <c r="J39" s="57" t="str">
        <f t="shared" si="10"/>
        <v/>
      </c>
      <c r="K39" s="58" t="str">
        <f t="shared" si="25"/>
        <v/>
      </c>
      <c r="L39" s="59" t="str">
        <f t="shared" ref="L39" si="33">IF(J39&lt;=k-1,L38*(1+rinf),"")</f>
        <v/>
      </c>
      <c r="M39" s="59" t="str">
        <f t="shared" si="11"/>
        <v/>
      </c>
      <c r="N39" s="56"/>
      <c r="O39" s="58" t="str">
        <f t="shared" si="12"/>
        <v/>
      </c>
      <c r="P39" s="58" t="str">
        <f t="shared" si="26"/>
        <v/>
      </c>
      <c r="Q39" s="59" t="str">
        <f t="shared" ref="Q39" si="34">IF(O39&lt;=k2b-1,Q38*(1+rinf),"")</f>
        <v/>
      </c>
      <c r="R39" s="59" t="str">
        <f t="shared" si="0"/>
        <v/>
      </c>
      <c r="S39" s="56"/>
      <c r="T39" s="58" t="str">
        <f t="shared" si="13"/>
        <v/>
      </c>
      <c r="U39" s="58" t="str">
        <f t="shared" si="27"/>
        <v/>
      </c>
      <c r="V39" s="59" t="str">
        <f t="shared" ref="V39" si="35">IF(T39&lt;=k3b-1,V38*(1+rinf),"")</f>
        <v/>
      </c>
      <c r="W39" s="59" t="str">
        <f t="shared" si="1"/>
        <v/>
      </c>
      <c r="X39" s="56"/>
      <c r="Y39" s="58" t="str">
        <f t="shared" si="14"/>
        <v/>
      </c>
      <c r="Z39" s="58" t="str">
        <f t="shared" si="28"/>
        <v/>
      </c>
      <c r="AA39" s="59" t="str">
        <f t="shared" ref="AA39" si="36">IF(Y39&lt;=k4b-1,AA38*(1+rinf),"")</f>
        <v/>
      </c>
      <c r="AB39" s="59" t="str">
        <f t="shared" si="2"/>
        <v/>
      </c>
      <c r="AC39" s="56"/>
      <c r="AD39" s="58" t="str">
        <f t="shared" si="15"/>
        <v/>
      </c>
      <c r="AE39" s="58" t="str">
        <f t="shared" si="29"/>
        <v/>
      </c>
      <c r="AF39" s="59" t="str">
        <f t="shared" ref="AF39" si="37">IF(AD39&lt;=k5b-1,AF38*(1+rinf),"")</f>
        <v/>
      </c>
      <c r="AG39" s="59" t="str">
        <f t="shared" si="3"/>
        <v/>
      </c>
      <c r="AH39" s="56"/>
      <c r="AI39" s="58" t="str">
        <f t="shared" si="16"/>
        <v/>
      </c>
      <c r="AJ39" s="58" t="str">
        <f t="shared" si="30"/>
        <v/>
      </c>
      <c r="AK39" s="59" t="str">
        <f t="shared" ref="AK39" si="38">IF(AI39&lt;=k6b-1,AK38*(1+rinf),"")</f>
        <v/>
      </c>
      <c r="AL39" s="59" t="str">
        <f t="shared" si="4"/>
        <v/>
      </c>
      <c r="AM39" s="56"/>
      <c r="AN39" s="58" t="str">
        <f t="shared" si="17"/>
        <v/>
      </c>
      <c r="AO39" s="58" t="str">
        <f t="shared" si="31"/>
        <v/>
      </c>
      <c r="AP39" s="59" t="str">
        <f t="shared" ref="AP39" si="39">IF(AN39&lt;=k7b-1,AP38*(1+rinf),"")</f>
        <v/>
      </c>
      <c r="AQ39" s="59" t="str">
        <f t="shared" si="5"/>
        <v/>
      </c>
      <c r="AR39" s="56"/>
      <c r="AS39" s="41" t="str">
        <f t="shared" si="18"/>
        <v/>
      </c>
      <c r="AT39" s="58" t="str">
        <f t="shared" si="32"/>
        <v/>
      </c>
      <c r="AU39" s="59" t="str">
        <f t="shared" ref="AU39" si="40">IF(AS39&lt;=k7b-1,AU38*(1+rinf),"")</f>
        <v/>
      </c>
      <c r="AV39" s="46" t="str">
        <f t="shared" si="6"/>
        <v/>
      </c>
      <c r="AW39" s="56"/>
      <c r="AX39" s="41" t="str">
        <f t="shared" si="19"/>
        <v/>
      </c>
      <c r="AY39" s="41" t="str">
        <f t="shared" ref="AY39" si="41">IF(AX39="","",AY38+1)</f>
        <v/>
      </c>
      <c r="AZ39" s="207" t="str">
        <f>_xlfn.IFNA(VLOOKUP(AY39,YearlyCashFlow!$B$7:$M$90,11,FALSE),"")</f>
        <v/>
      </c>
      <c r="BA39" s="46" t="str">
        <f t="shared" si="7"/>
        <v/>
      </c>
      <c r="BB39" s="56"/>
      <c r="BC39" s="41" t="str">
        <f t="shared" si="21"/>
        <v/>
      </c>
      <c r="BD39" s="41" t="str">
        <f t="shared" si="22"/>
        <v/>
      </c>
      <c r="BE39" s="207" t="str">
        <f>_xlfn.IFNA(VLOOKUP(BD39,YearlyCashFlow!$B$7:$M$90,11,FALSE),"")</f>
        <v/>
      </c>
      <c r="BF39" s="46" t="str">
        <f t="shared" si="8"/>
        <v/>
      </c>
      <c r="BG39" s="56"/>
      <c r="BH39" s="41" t="str">
        <f t="shared" si="23"/>
        <v/>
      </c>
      <c r="BI39" s="41" t="str">
        <f t="shared" si="24"/>
        <v/>
      </c>
      <c r="BJ39" s="207" t="str">
        <f>_xlfn.IFNA(VLOOKUP(BI39,YearlyCashFlow!$B$7:$M$90,11,FALSE),"")</f>
        <v/>
      </c>
      <c r="BK39" s="46" t="str">
        <f t="shared" si="9"/>
        <v/>
      </c>
    </row>
    <row r="40" spans="1:63" ht="14.45" customHeight="1" x14ac:dyDescent="0.25">
      <c r="A40" s="1"/>
      <c r="B40" s="20"/>
      <c r="C40" s="1"/>
      <c r="E40" s="1"/>
      <c r="G40" s="1"/>
      <c r="H40" s="24"/>
      <c r="I40" s="60"/>
      <c r="J40" s="1"/>
      <c r="K40" s="24"/>
      <c r="L40" s="24"/>
      <c r="M40" s="20"/>
      <c r="N40" s="60"/>
      <c r="O40" s="1"/>
      <c r="P40" s="24"/>
      <c r="Q40" s="24"/>
      <c r="R40" s="20"/>
      <c r="S40" s="60"/>
      <c r="T40" s="1"/>
      <c r="U40" s="24"/>
      <c r="V40" s="24"/>
      <c r="W40" s="20"/>
      <c r="X40" s="60"/>
      <c r="Y40" s="1"/>
      <c r="Z40" s="24"/>
      <c r="AA40" s="24"/>
      <c r="AB40" s="20"/>
      <c r="AC40" s="60"/>
      <c r="AD40" s="1"/>
      <c r="AE40" s="24"/>
      <c r="AF40" s="24"/>
      <c r="AG40" s="20"/>
      <c r="AH40" s="60"/>
      <c r="AI40" s="1"/>
      <c r="AJ40" s="24"/>
      <c r="AK40" s="24"/>
      <c r="AL40" s="20"/>
      <c r="AM40" s="60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63" ht="14.45" customHeight="1" x14ac:dyDescent="0.25">
      <c r="A41" s="1"/>
      <c r="B41" s="20"/>
      <c r="C41" s="1"/>
      <c r="E41" s="1"/>
      <c r="G41" s="1"/>
      <c r="H41" s="24"/>
      <c r="I41" s="60"/>
      <c r="J41" s="1"/>
      <c r="K41" s="24"/>
      <c r="L41" s="24"/>
      <c r="M41" s="20"/>
      <c r="N41" s="60"/>
      <c r="O41" s="1"/>
      <c r="P41" s="24"/>
      <c r="Q41" s="24"/>
      <c r="R41" s="20"/>
      <c r="S41" s="60"/>
      <c r="T41" s="1"/>
      <c r="U41" s="24"/>
      <c r="V41" s="24"/>
      <c r="W41" s="20"/>
      <c r="X41" s="60"/>
      <c r="Y41" s="1"/>
      <c r="Z41" s="24"/>
      <c r="AA41" s="24"/>
      <c r="AB41" s="20"/>
      <c r="AC41" s="60"/>
      <c r="AD41" s="1"/>
      <c r="AE41" s="24"/>
      <c r="AF41" s="24"/>
      <c r="AG41" s="20"/>
      <c r="AH41" s="60"/>
      <c r="AI41" s="1"/>
      <c r="AJ41" s="24"/>
      <c r="AK41" s="24"/>
      <c r="AL41" s="20"/>
      <c r="AM41" s="60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63" x14ac:dyDescent="0.25">
      <c r="A42" s="1"/>
      <c r="B42" s="20"/>
      <c r="C42" s="1"/>
      <c r="E42" s="1"/>
      <c r="G42" s="1"/>
      <c r="H42" s="24"/>
      <c r="I42" s="60"/>
      <c r="J42" s="1"/>
      <c r="K42" s="24"/>
      <c r="L42" s="24"/>
      <c r="M42" s="20"/>
      <c r="N42" s="60"/>
      <c r="O42" s="1"/>
      <c r="P42" s="24"/>
      <c r="Q42" s="24"/>
      <c r="R42" s="20"/>
      <c r="S42" s="60"/>
      <c r="T42" s="1"/>
      <c r="U42" s="24"/>
      <c r="V42" s="24"/>
      <c r="W42" s="20"/>
      <c r="X42" s="60"/>
      <c r="Y42" s="1"/>
      <c r="Z42" s="24"/>
      <c r="AA42" s="24"/>
      <c r="AB42" s="20"/>
      <c r="AC42" s="60"/>
      <c r="AD42" s="1"/>
      <c r="AE42" s="24"/>
      <c r="AF42" s="24"/>
      <c r="AG42" s="20"/>
      <c r="AH42" s="60"/>
      <c r="AI42" s="1"/>
      <c r="AJ42" s="24"/>
      <c r="AK42" s="24"/>
      <c r="AL42" s="20"/>
      <c r="AM42" s="60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63" x14ac:dyDescent="0.25">
      <c r="A43" s="1"/>
      <c r="B43" s="20"/>
      <c r="C43" s="1"/>
      <c r="E43" s="1"/>
      <c r="G43" s="1"/>
      <c r="H43" s="24"/>
      <c r="I43" s="60"/>
      <c r="J43" s="1"/>
      <c r="K43" s="24"/>
      <c r="L43" s="24"/>
      <c r="M43" s="20"/>
      <c r="N43" s="60"/>
      <c r="O43" s="1"/>
      <c r="P43" s="24"/>
      <c r="Q43" s="24"/>
      <c r="R43" s="20"/>
      <c r="S43" s="60"/>
      <c r="T43" s="1"/>
      <c r="U43" s="24"/>
      <c r="V43" s="24"/>
      <c r="W43" s="20"/>
      <c r="X43" s="60"/>
      <c r="Y43" s="1"/>
      <c r="Z43" s="24"/>
      <c r="AA43" s="24"/>
      <c r="AB43" s="20"/>
      <c r="AC43" s="60"/>
      <c r="AD43" s="1"/>
      <c r="AE43" s="24"/>
      <c r="AF43" s="24"/>
      <c r="AG43" s="20"/>
      <c r="AH43" s="60"/>
      <c r="AI43" s="1"/>
      <c r="AJ43" s="24"/>
      <c r="AK43" s="24"/>
      <c r="AL43" s="20"/>
      <c r="AM43" s="60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63" x14ac:dyDescent="0.25">
      <c r="A44" s="1"/>
      <c r="B44" s="20"/>
      <c r="C44" s="1"/>
      <c r="E44" s="1"/>
      <c r="G44" s="1"/>
      <c r="H44" s="24"/>
      <c r="I44" s="60"/>
      <c r="J44" s="1"/>
      <c r="K44" s="24"/>
      <c r="L44" s="24"/>
      <c r="M44" s="20"/>
      <c r="N44" s="60"/>
      <c r="O44" s="1"/>
      <c r="P44" s="24"/>
      <c r="Q44" s="24"/>
      <c r="R44" s="20"/>
      <c r="S44" s="60"/>
      <c r="T44" s="1"/>
      <c r="U44" s="24"/>
      <c r="V44" s="24"/>
      <c r="W44" s="20"/>
      <c r="X44" s="60"/>
      <c r="Y44" s="1"/>
      <c r="Z44" s="24"/>
      <c r="AA44" s="24"/>
      <c r="AB44" s="20"/>
      <c r="AC44" s="60"/>
      <c r="AD44" s="1"/>
      <c r="AE44" s="24"/>
      <c r="AF44" s="24"/>
      <c r="AG44" s="20"/>
      <c r="AH44" s="60"/>
      <c r="AI44" s="1"/>
      <c r="AJ44" s="24"/>
      <c r="AK44" s="24"/>
      <c r="AL44" s="20"/>
      <c r="AM44" s="60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63" x14ac:dyDescent="0.25">
      <c r="A45" s="1"/>
      <c r="B45" s="20"/>
      <c r="C45" s="1"/>
      <c r="E45" s="1"/>
      <c r="G45" s="1"/>
      <c r="H45" s="24"/>
      <c r="I45" s="60"/>
      <c r="J45" s="1"/>
      <c r="K45" s="24"/>
      <c r="L45" s="24"/>
      <c r="M45" s="20"/>
      <c r="N45" s="60"/>
      <c r="O45" s="1"/>
      <c r="P45" s="24"/>
      <c r="Q45" s="24"/>
      <c r="R45" s="20"/>
      <c r="S45" s="60"/>
      <c r="T45" s="1"/>
      <c r="U45" s="24"/>
      <c r="V45" s="24"/>
      <c r="W45" s="20"/>
      <c r="X45" s="60"/>
      <c r="Y45" s="1"/>
      <c r="Z45" s="24"/>
      <c r="AA45" s="24"/>
      <c r="AB45" s="20"/>
      <c r="AC45" s="60"/>
      <c r="AD45" s="1"/>
      <c r="AE45" s="24"/>
      <c r="AF45" s="24"/>
      <c r="AG45" s="20"/>
      <c r="AH45" s="60"/>
      <c r="AI45" s="1"/>
      <c r="AJ45" s="24"/>
      <c r="AK45" s="24"/>
      <c r="AL45" s="20"/>
      <c r="AM45" s="60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63" x14ac:dyDescent="0.25">
      <c r="A46" s="1"/>
      <c r="B46" s="20"/>
      <c r="C46" s="1"/>
      <c r="E46" s="1"/>
      <c r="G46" s="1"/>
      <c r="H46" s="24"/>
      <c r="I46" s="60"/>
      <c r="J46" s="1"/>
      <c r="K46" s="24"/>
      <c r="L46" s="24"/>
      <c r="M46" s="20"/>
      <c r="N46" s="60"/>
      <c r="O46" s="1"/>
      <c r="P46" s="24"/>
      <c r="Q46" s="24"/>
      <c r="R46" s="20"/>
      <c r="S46" s="60"/>
      <c r="T46" s="1"/>
      <c r="U46" s="24"/>
      <c r="V46" s="24"/>
      <c r="W46" s="20"/>
      <c r="X46" s="60"/>
      <c r="Y46" s="1"/>
      <c r="Z46" s="24"/>
      <c r="AA46" s="24"/>
      <c r="AB46" s="20"/>
      <c r="AC46" s="60"/>
      <c r="AD46" s="1"/>
      <c r="AE46" s="24"/>
      <c r="AF46" s="24"/>
      <c r="AG46" s="20"/>
      <c r="AH46" s="60"/>
      <c r="AI46" s="1"/>
      <c r="AJ46" s="24"/>
      <c r="AK46" s="24"/>
      <c r="AL46" s="20"/>
      <c r="AM46" s="60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63" x14ac:dyDescent="0.25">
      <c r="A47" s="1"/>
      <c r="B47" s="20"/>
      <c r="C47" s="1"/>
      <c r="E47" s="1"/>
      <c r="G47" s="1"/>
      <c r="H47" s="24"/>
      <c r="I47" s="60"/>
      <c r="J47" s="1"/>
      <c r="K47" s="24"/>
      <c r="L47" s="24"/>
      <c r="M47" s="20"/>
      <c r="N47" s="60"/>
      <c r="O47" s="1"/>
      <c r="P47" s="24"/>
      <c r="Q47" s="24"/>
      <c r="R47" s="20"/>
      <c r="S47" s="60"/>
      <c r="T47" s="1"/>
      <c r="U47" s="24"/>
      <c r="V47" s="24"/>
      <c r="W47" s="20"/>
      <c r="X47" s="60"/>
      <c r="Y47" s="1"/>
      <c r="Z47" s="24"/>
      <c r="AA47" s="24"/>
      <c r="AB47" s="20"/>
      <c r="AC47" s="60"/>
      <c r="AD47" s="1"/>
      <c r="AE47" s="24"/>
      <c r="AF47" s="24"/>
      <c r="AG47" s="20"/>
      <c r="AH47" s="60"/>
      <c r="AI47" s="1"/>
      <c r="AJ47" s="24"/>
      <c r="AK47" s="24"/>
      <c r="AL47" s="20"/>
      <c r="AM47" s="60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63" x14ac:dyDescent="0.25">
      <c r="A48" s="1"/>
      <c r="B48" s="20"/>
      <c r="C48" s="1"/>
      <c r="E48" s="1"/>
      <c r="G48" s="1"/>
      <c r="H48" s="24"/>
      <c r="I48" s="60"/>
      <c r="J48" s="1"/>
      <c r="K48" s="24"/>
      <c r="L48" s="24"/>
      <c r="M48" s="20"/>
      <c r="N48" s="60"/>
      <c r="O48" s="1"/>
      <c r="P48" s="24"/>
      <c r="Q48" s="24"/>
      <c r="R48" s="20"/>
      <c r="S48" s="60"/>
      <c r="T48" s="1"/>
      <c r="U48" s="24"/>
      <c r="V48" s="24"/>
      <c r="W48" s="20"/>
      <c r="X48" s="60"/>
      <c r="Y48" s="1"/>
      <c r="Z48" s="24"/>
      <c r="AA48" s="24"/>
      <c r="AB48" s="20"/>
      <c r="AC48" s="60"/>
      <c r="AD48" s="1"/>
      <c r="AE48" s="24"/>
      <c r="AF48" s="24"/>
      <c r="AG48" s="20"/>
      <c r="AH48" s="60"/>
      <c r="AI48" s="1"/>
      <c r="AJ48" s="24"/>
      <c r="AK48" s="24"/>
      <c r="AL48" s="20"/>
      <c r="AM48" s="60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5">
      <c r="A49" s="1"/>
      <c r="B49" s="20"/>
      <c r="C49" s="1"/>
      <c r="E49" s="1"/>
      <c r="G49" s="1"/>
      <c r="H49" s="24"/>
      <c r="I49" s="60"/>
      <c r="J49" s="1"/>
      <c r="K49" s="24"/>
      <c r="L49" s="24"/>
      <c r="M49" s="20"/>
      <c r="N49" s="60"/>
      <c r="O49" s="1"/>
      <c r="P49" s="24"/>
      <c r="Q49" s="24"/>
      <c r="R49" s="20"/>
      <c r="S49" s="60"/>
      <c r="T49" s="1"/>
      <c r="U49" s="24"/>
      <c r="V49" s="24"/>
      <c r="W49" s="20"/>
      <c r="X49" s="60"/>
      <c r="Y49" s="1"/>
      <c r="Z49" s="24"/>
      <c r="AA49" s="24"/>
      <c r="AB49" s="20"/>
      <c r="AC49" s="60"/>
      <c r="AD49" s="1"/>
      <c r="AE49" s="24"/>
      <c r="AF49" s="24"/>
      <c r="AG49" s="20"/>
      <c r="AH49" s="60"/>
      <c r="AI49" s="1"/>
      <c r="AJ49" s="24"/>
      <c r="AK49" s="24"/>
      <c r="AL49" s="20"/>
      <c r="AM49" s="60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5">
      <c r="A50" s="1"/>
      <c r="B50" s="20"/>
      <c r="C50" s="1"/>
      <c r="E50" s="1"/>
      <c r="G50" s="1"/>
      <c r="H50" s="24"/>
      <c r="I50" s="60"/>
      <c r="J50" s="1"/>
      <c r="K50" s="24"/>
      <c r="L50" s="24"/>
      <c r="M50" s="20"/>
      <c r="N50" s="60"/>
      <c r="O50" s="1"/>
      <c r="P50" s="24"/>
      <c r="Q50" s="24"/>
      <c r="R50" s="20"/>
      <c r="S50" s="60"/>
      <c r="T50" s="1"/>
      <c r="U50" s="24"/>
      <c r="V50" s="24"/>
      <c r="W50" s="20"/>
      <c r="X50" s="60"/>
      <c r="Y50" s="1"/>
      <c r="Z50" s="24"/>
      <c r="AA50" s="24"/>
      <c r="AB50" s="20"/>
      <c r="AC50" s="60"/>
      <c r="AD50" s="1"/>
      <c r="AE50" s="24"/>
      <c r="AF50" s="24"/>
      <c r="AG50" s="20"/>
      <c r="AH50" s="60"/>
      <c r="AI50" s="1"/>
      <c r="AJ50" s="24"/>
      <c r="AK50" s="24"/>
      <c r="AL50" s="20"/>
      <c r="AM50" s="60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5">
      <c r="A51" s="1"/>
      <c r="B51" s="20"/>
      <c r="C51" s="1"/>
      <c r="E51" s="1"/>
      <c r="G51" s="1"/>
      <c r="H51" s="24"/>
      <c r="I51" s="60"/>
      <c r="J51" s="1"/>
      <c r="K51" s="24"/>
      <c r="L51" s="24"/>
      <c r="M51" s="20"/>
      <c r="N51" s="60"/>
      <c r="O51" s="1"/>
      <c r="P51" s="24"/>
      <c r="Q51" s="24"/>
      <c r="R51" s="20"/>
      <c r="S51" s="60"/>
      <c r="T51" s="1"/>
      <c r="U51" s="24"/>
      <c r="V51" s="24"/>
      <c r="W51" s="20"/>
      <c r="X51" s="60"/>
      <c r="Y51" s="1"/>
      <c r="Z51" s="24"/>
      <c r="AA51" s="24"/>
      <c r="AB51" s="20"/>
      <c r="AC51" s="60"/>
      <c r="AD51" s="1"/>
      <c r="AE51" s="24"/>
      <c r="AF51" s="24"/>
      <c r="AG51" s="20"/>
      <c r="AH51" s="60"/>
      <c r="AI51" s="1"/>
      <c r="AJ51" s="24"/>
      <c r="AK51" s="24"/>
      <c r="AL51" s="20"/>
      <c r="AM51" s="60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5">
      <c r="A52" s="1"/>
      <c r="B52" s="20"/>
      <c r="C52" s="1"/>
      <c r="E52" s="1"/>
      <c r="G52" s="1"/>
      <c r="H52" s="24"/>
      <c r="I52" s="60"/>
      <c r="J52" s="1"/>
      <c r="K52" s="24"/>
      <c r="L52" s="24"/>
      <c r="M52" s="20"/>
      <c r="N52" s="60"/>
      <c r="O52" s="1"/>
      <c r="P52" s="24"/>
      <c r="Q52" s="24"/>
      <c r="R52" s="20"/>
      <c r="S52" s="60"/>
      <c r="T52" s="1"/>
      <c r="U52" s="24"/>
      <c r="V52" s="24"/>
      <c r="W52" s="20"/>
      <c r="X52" s="60"/>
      <c r="Y52" s="1"/>
      <c r="Z52" s="24"/>
      <c r="AA52" s="24"/>
      <c r="AB52" s="20"/>
      <c r="AC52" s="60"/>
      <c r="AD52" s="1"/>
      <c r="AE52" s="24"/>
      <c r="AF52" s="24"/>
      <c r="AG52" s="20"/>
      <c r="AH52" s="60"/>
      <c r="AI52" s="1"/>
      <c r="AJ52" s="24"/>
      <c r="AK52" s="24"/>
      <c r="AL52" s="20"/>
      <c r="AM52" s="60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5">
      <c r="A53" s="1"/>
      <c r="B53" s="20"/>
      <c r="C53" s="1"/>
      <c r="E53" s="1"/>
      <c r="G53" s="1"/>
      <c r="H53" s="24"/>
      <c r="I53" s="60"/>
      <c r="J53" s="1"/>
      <c r="K53" s="24"/>
      <c r="L53" s="24"/>
      <c r="M53" s="20"/>
      <c r="N53" s="60"/>
      <c r="O53" s="1"/>
      <c r="P53" s="24"/>
      <c r="Q53" s="24"/>
      <c r="R53" s="20"/>
      <c r="S53" s="60"/>
      <c r="T53" s="1"/>
      <c r="U53" s="24"/>
      <c r="V53" s="24"/>
      <c r="W53" s="20"/>
      <c r="X53" s="60"/>
      <c r="Y53" s="1"/>
      <c r="Z53" s="24"/>
      <c r="AA53" s="24"/>
      <c r="AB53" s="20"/>
      <c r="AC53" s="60"/>
      <c r="AD53" s="1"/>
      <c r="AE53" s="24"/>
      <c r="AF53" s="24"/>
      <c r="AG53" s="20"/>
      <c r="AH53" s="60"/>
      <c r="AI53" s="1"/>
      <c r="AJ53" s="24"/>
      <c r="AK53" s="24"/>
      <c r="AL53" s="20"/>
      <c r="AM53" s="60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5">
      <c r="A54" s="1"/>
      <c r="B54" s="20"/>
      <c r="C54" s="1"/>
      <c r="E54" s="1"/>
      <c r="G54" s="1"/>
      <c r="H54" s="24"/>
      <c r="I54" s="60"/>
      <c r="J54" s="1"/>
      <c r="K54" s="24"/>
      <c r="L54" s="24"/>
      <c r="M54" s="20"/>
      <c r="N54" s="60"/>
      <c r="O54" s="1"/>
      <c r="P54" s="24"/>
      <c r="Q54" s="24"/>
      <c r="R54" s="20"/>
      <c r="S54" s="60"/>
      <c r="T54" s="1"/>
      <c r="U54" s="24"/>
      <c r="V54" s="24"/>
      <c r="W54" s="20"/>
      <c r="X54" s="60"/>
      <c r="Y54" s="1"/>
      <c r="Z54" s="24"/>
      <c r="AA54" s="24"/>
      <c r="AB54" s="20"/>
      <c r="AC54" s="60"/>
      <c r="AD54" s="1"/>
      <c r="AE54" s="24"/>
      <c r="AF54" s="24"/>
      <c r="AG54" s="20"/>
      <c r="AH54" s="60"/>
      <c r="AI54" s="1"/>
      <c r="AJ54" s="24"/>
      <c r="AK54" s="24"/>
      <c r="AL54" s="20"/>
      <c r="AM54" s="60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5">
      <c r="A55" s="1"/>
      <c r="B55" s="20"/>
      <c r="C55" s="1"/>
      <c r="E55" s="1"/>
      <c r="G55" s="1"/>
      <c r="H55" s="24"/>
      <c r="I55" s="60"/>
      <c r="J55" s="1"/>
      <c r="K55" s="24"/>
      <c r="L55" s="24"/>
      <c r="M55" s="20"/>
      <c r="N55" s="60"/>
      <c r="O55" s="1"/>
      <c r="P55" s="24"/>
      <c r="Q55" s="24"/>
      <c r="R55" s="20"/>
      <c r="S55" s="60"/>
      <c r="T55" s="1"/>
      <c r="U55" s="24"/>
      <c r="V55" s="24"/>
      <c r="W55" s="20"/>
      <c r="X55" s="60"/>
      <c r="Y55" s="1"/>
      <c r="Z55" s="24"/>
      <c r="AA55" s="24"/>
      <c r="AB55" s="20"/>
      <c r="AC55" s="60"/>
      <c r="AD55" s="1"/>
      <c r="AE55" s="24"/>
      <c r="AF55" s="24"/>
      <c r="AG55" s="20"/>
      <c r="AH55" s="60"/>
      <c r="AI55" s="1"/>
      <c r="AJ55" s="24"/>
      <c r="AK55" s="24"/>
      <c r="AL55" s="20"/>
      <c r="AM55" s="60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5">
      <c r="A56" s="1"/>
      <c r="B56" s="20"/>
      <c r="C56" s="1"/>
      <c r="E56" s="1"/>
      <c r="G56" s="1"/>
      <c r="H56" s="24"/>
      <c r="I56" s="60"/>
      <c r="J56" s="1"/>
      <c r="K56" s="24"/>
      <c r="L56" s="24"/>
      <c r="M56" s="20"/>
      <c r="N56" s="60"/>
      <c r="O56" s="1"/>
      <c r="P56" s="24"/>
      <c r="Q56" s="24"/>
      <c r="R56" s="20"/>
      <c r="S56" s="60"/>
      <c r="T56" s="1"/>
      <c r="U56" s="24"/>
      <c r="V56" s="24"/>
      <c r="W56" s="20"/>
      <c r="X56" s="60"/>
      <c r="Y56" s="1"/>
      <c r="Z56" s="24"/>
      <c r="AA56" s="24"/>
      <c r="AB56" s="20"/>
      <c r="AC56" s="60"/>
      <c r="AD56" s="1"/>
      <c r="AE56" s="24"/>
      <c r="AF56" s="24"/>
      <c r="AG56" s="20"/>
      <c r="AH56" s="60"/>
      <c r="AI56" s="1"/>
      <c r="AJ56" s="24"/>
      <c r="AK56" s="24"/>
      <c r="AL56" s="20"/>
      <c r="AM56" s="60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1"/>
      <c r="B57" s="20"/>
      <c r="C57" s="1"/>
      <c r="E57" s="1"/>
      <c r="G57" s="1"/>
      <c r="H57" s="24"/>
      <c r="I57" s="60"/>
      <c r="J57" s="1"/>
      <c r="K57" s="24"/>
      <c r="L57" s="24"/>
      <c r="M57" s="20"/>
      <c r="N57" s="60"/>
      <c r="O57" s="1"/>
      <c r="P57" s="24"/>
      <c r="Q57" s="24"/>
      <c r="R57" s="20"/>
      <c r="S57" s="60"/>
      <c r="T57" s="1"/>
      <c r="U57" s="24"/>
      <c r="V57" s="24"/>
      <c r="W57" s="20"/>
      <c r="X57" s="60"/>
      <c r="Y57" s="1"/>
      <c r="Z57" s="24"/>
      <c r="AA57" s="24"/>
      <c r="AB57" s="20"/>
      <c r="AC57" s="60"/>
      <c r="AD57" s="1"/>
      <c r="AE57" s="24"/>
      <c r="AF57" s="24"/>
      <c r="AG57" s="20"/>
      <c r="AH57" s="60"/>
      <c r="AI57" s="1"/>
      <c r="AJ57" s="24"/>
      <c r="AK57" s="24"/>
      <c r="AL57" s="20"/>
      <c r="AM57" s="60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5">
      <c r="A58" s="1"/>
      <c r="B58" s="20"/>
      <c r="C58" s="1"/>
      <c r="E58" s="1"/>
      <c r="G58" s="1"/>
      <c r="H58" s="24"/>
      <c r="I58" s="60"/>
      <c r="J58" s="1"/>
      <c r="K58" s="24"/>
      <c r="L58" s="24"/>
      <c r="M58" s="20"/>
      <c r="N58" s="60"/>
      <c r="O58" s="1"/>
      <c r="P58" s="24"/>
      <c r="Q58" s="24"/>
      <c r="R58" s="20"/>
      <c r="S58" s="60"/>
      <c r="T58" s="1"/>
      <c r="U58" s="24"/>
      <c r="V58" s="24"/>
      <c r="W58" s="20"/>
      <c r="X58" s="60"/>
      <c r="Y58" s="1"/>
      <c r="Z58" s="24"/>
      <c r="AA58" s="24"/>
      <c r="AB58" s="20"/>
      <c r="AC58" s="60"/>
      <c r="AD58" s="1"/>
      <c r="AE58" s="24"/>
      <c r="AF58" s="24"/>
      <c r="AG58" s="20"/>
      <c r="AH58" s="60"/>
      <c r="AI58" s="1"/>
      <c r="AJ58" s="24"/>
      <c r="AK58" s="24"/>
      <c r="AL58" s="20"/>
      <c r="AM58" s="60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5">
      <c r="A59" s="1"/>
      <c r="B59" s="20"/>
      <c r="C59" s="1"/>
      <c r="E59" s="1"/>
      <c r="G59" s="1"/>
      <c r="H59" s="24"/>
      <c r="I59" s="60"/>
      <c r="J59" s="1"/>
      <c r="K59" s="24"/>
      <c r="L59" s="24"/>
      <c r="M59" s="20"/>
      <c r="N59" s="60"/>
      <c r="O59" s="1"/>
      <c r="P59" s="24"/>
      <c r="Q59" s="24"/>
      <c r="R59" s="20"/>
      <c r="S59" s="60"/>
      <c r="T59" s="1"/>
      <c r="U59" s="24"/>
      <c r="V59" s="24"/>
      <c r="W59" s="20"/>
      <c r="X59" s="60"/>
      <c r="Y59" s="1"/>
      <c r="Z59" s="24"/>
      <c r="AA59" s="24"/>
      <c r="AB59" s="20"/>
      <c r="AC59" s="60"/>
      <c r="AD59" s="1"/>
      <c r="AE59" s="24"/>
      <c r="AF59" s="24"/>
      <c r="AG59" s="20"/>
      <c r="AH59" s="60"/>
      <c r="AI59" s="1"/>
      <c r="AJ59" s="24"/>
      <c r="AK59" s="24"/>
      <c r="AL59" s="20"/>
      <c r="AM59" s="60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5">
      <c r="A60" s="1"/>
      <c r="B60" s="20"/>
      <c r="C60" s="1"/>
      <c r="E60" s="1"/>
      <c r="G60" s="1"/>
      <c r="H60" s="24"/>
      <c r="I60" s="60"/>
      <c r="J60" s="1"/>
      <c r="K60" s="24"/>
      <c r="L60" s="24"/>
      <c r="M60" s="20"/>
      <c r="N60" s="60"/>
      <c r="O60" s="1"/>
      <c r="P60" s="24"/>
      <c r="Q60" s="24"/>
      <c r="R60" s="20"/>
      <c r="S60" s="60"/>
      <c r="T60" s="1"/>
      <c r="U60" s="24"/>
      <c r="V60" s="24"/>
      <c r="W60" s="20"/>
      <c r="X60" s="60"/>
      <c r="Y60" s="1"/>
      <c r="Z60" s="24"/>
      <c r="AA60" s="24"/>
      <c r="AB60" s="20"/>
      <c r="AC60" s="60"/>
      <c r="AD60" s="1"/>
      <c r="AE60" s="24"/>
      <c r="AF60" s="24"/>
      <c r="AG60" s="20"/>
      <c r="AH60" s="60"/>
      <c r="AI60" s="1"/>
      <c r="AJ60" s="24"/>
      <c r="AK60" s="24"/>
      <c r="AL60" s="20"/>
      <c r="AM60" s="60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5">
      <c r="A61" s="1"/>
      <c r="B61" s="20"/>
      <c r="C61" s="1"/>
      <c r="E61" s="1"/>
      <c r="G61" s="1"/>
      <c r="H61" s="24"/>
      <c r="I61" s="60"/>
      <c r="J61" s="1"/>
      <c r="K61" s="24"/>
      <c r="L61" s="24"/>
      <c r="M61" s="20"/>
      <c r="N61" s="60"/>
      <c r="O61" s="1"/>
      <c r="P61" s="24"/>
      <c r="Q61" s="24"/>
      <c r="R61" s="20"/>
      <c r="S61" s="60"/>
      <c r="T61" s="1"/>
      <c r="U61" s="24"/>
      <c r="V61" s="24"/>
      <c r="W61" s="20"/>
      <c r="X61" s="60"/>
      <c r="Y61" s="1"/>
      <c r="Z61" s="24"/>
      <c r="AA61" s="24"/>
      <c r="AB61" s="20"/>
      <c r="AC61" s="60"/>
      <c r="AD61" s="1"/>
      <c r="AE61" s="24"/>
      <c r="AF61" s="24"/>
      <c r="AG61" s="20"/>
      <c r="AH61" s="60"/>
      <c r="AI61" s="1"/>
      <c r="AJ61" s="24"/>
      <c r="AK61" s="24"/>
      <c r="AL61" s="20"/>
      <c r="AM61" s="60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5">
      <c r="A62" s="1"/>
      <c r="B62" s="20"/>
      <c r="C62" s="1"/>
      <c r="E62" s="1"/>
      <c r="G62" s="1"/>
      <c r="H62" s="24"/>
      <c r="I62" s="60"/>
      <c r="J62" s="1"/>
      <c r="K62" s="24"/>
      <c r="L62" s="24"/>
      <c r="M62" s="20"/>
      <c r="N62" s="60"/>
      <c r="O62" s="1"/>
      <c r="P62" s="24"/>
      <c r="Q62" s="24"/>
      <c r="R62" s="20"/>
      <c r="S62" s="60"/>
      <c r="T62" s="1"/>
      <c r="U62" s="24"/>
      <c r="V62" s="24"/>
      <c r="W62" s="20"/>
      <c r="X62" s="60"/>
      <c r="Y62" s="1"/>
      <c r="Z62" s="24"/>
      <c r="AA62" s="24"/>
      <c r="AB62" s="20"/>
      <c r="AC62" s="60"/>
      <c r="AD62" s="1"/>
      <c r="AE62" s="24"/>
      <c r="AF62" s="24"/>
      <c r="AG62" s="20"/>
      <c r="AH62" s="60"/>
      <c r="AI62" s="1"/>
      <c r="AJ62" s="24"/>
      <c r="AK62" s="24"/>
      <c r="AL62" s="20"/>
      <c r="AM62" s="60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5">
      <c r="A63" s="1"/>
      <c r="B63" s="20"/>
      <c r="C63" s="1"/>
      <c r="E63" s="1"/>
      <c r="G63" s="1"/>
      <c r="H63" s="24"/>
      <c r="I63" s="60"/>
      <c r="J63" s="1"/>
      <c r="K63" s="24"/>
      <c r="L63" s="24"/>
      <c r="M63" s="20"/>
      <c r="N63" s="60"/>
      <c r="O63" s="1"/>
      <c r="P63" s="24"/>
      <c r="Q63" s="24"/>
      <c r="R63" s="20"/>
      <c r="S63" s="60"/>
      <c r="T63" s="1"/>
      <c r="U63" s="24"/>
      <c r="V63" s="24"/>
      <c r="W63" s="20"/>
      <c r="X63" s="60"/>
      <c r="Y63" s="1"/>
      <c r="Z63" s="24"/>
      <c r="AA63" s="24"/>
      <c r="AB63" s="20"/>
      <c r="AC63" s="60"/>
      <c r="AD63" s="1"/>
      <c r="AE63" s="24"/>
      <c r="AF63" s="24"/>
      <c r="AG63" s="20"/>
      <c r="AH63" s="60"/>
      <c r="AI63" s="1"/>
      <c r="AJ63" s="24"/>
      <c r="AK63" s="24"/>
      <c r="AL63" s="20"/>
      <c r="AM63" s="60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5">
      <c r="A64" s="1"/>
      <c r="B64" s="20"/>
      <c r="C64" s="1"/>
      <c r="E64" s="1"/>
      <c r="G64" s="1"/>
      <c r="H64" s="24"/>
      <c r="I64" s="60"/>
      <c r="J64" s="1"/>
      <c r="K64" s="24"/>
      <c r="L64" s="24"/>
      <c r="M64" s="20"/>
      <c r="N64" s="60"/>
      <c r="O64" s="1"/>
      <c r="P64" s="24"/>
      <c r="Q64" s="24"/>
      <c r="R64" s="20"/>
      <c r="S64" s="60"/>
      <c r="T64" s="1"/>
      <c r="U64" s="24"/>
      <c r="V64" s="24"/>
      <c r="W64" s="20"/>
      <c r="X64" s="60"/>
      <c r="Y64" s="1"/>
      <c r="Z64" s="24"/>
      <c r="AA64" s="24"/>
      <c r="AB64" s="20"/>
      <c r="AC64" s="60"/>
      <c r="AD64" s="1"/>
      <c r="AE64" s="24"/>
      <c r="AF64" s="24"/>
      <c r="AG64" s="20"/>
      <c r="AH64" s="60"/>
      <c r="AI64" s="1"/>
      <c r="AJ64" s="24"/>
      <c r="AK64" s="24"/>
      <c r="AL64" s="20"/>
      <c r="AM64" s="60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5">
      <c r="A65" s="1"/>
      <c r="B65" s="20"/>
      <c r="C65" s="1"/>
      <c r="E65" s="1"/>
      <c r="G65" s="1"/>
      <c r="H65" s="24"/>
      <c r="I65" s="60"/>
      <c r="J65" s="1"/>
      <c r="K65" s="24"/>
      <c r="L65" s="24"/>
      <c r="M65" s="20"/>
      <c r="N65" s="60"/>
      <c r="O65" s="1"/>
      <c r="P65" s="24"/>
      <c r="Q65" s="24"/>
      <c r="R65" s="20"/>
      <c r="S65" s="60"/>
      <c r="T65" s="1"/>
      <c r="U65" s="24"/>
      <c r="V65" s="24"/>
      <c r="W65" s="20"/>
      <c r="X65" s="60"/>
      <c r="Y65" s="1"/>
      <c r="Z65" s="24"/>
      <c r="AA65" s="24"/>
      <c r="AB65" s="20"/>
      <c r="AC65" s="60"/>
      <c r="AD65" s="1"/>
      <c r="AE65" s="24"/>
      <c r="AF65" s="24"/>
      <c r="AG65" s="20"/>
      <c r="AH65" s="60"/>
      <c r="AI65" s="1"/>
      <c r="AJ65" s="24"/>
      <c r="AK65" s="24"/>
      <c r="AL65" s="20"/>
      <c r="AM65" s="60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1"/>
      <c r="B66" s="20"/>
      <c r="C66" s="1"/>
      <c r="E66" s="1"/>
      <c r="G66" s="1"/>
      <c r="H66" s="24"/>
      <c r="I66" s="60"/>
      <c r="J66" s="1"/>
      <c r="K66" s="24"/>
      <c r="L66" s="24"/>
      <c r="M66" s="20"/>
      <c r="N66" s="60"/>
      <c r="O66" s="1"/>
      <c r="P66" s="24"/>
      <c r="Q66" s="24"/>
      <c r="R66" s="20"/>
      <c r="S66" s="60"/>
      <c r="T66" s="1"/>
      <c r="U66" s="24"/>
      <c r="V66" s="24"/>
      <c r="W66" s="20"/>
      <c r="X66" s="60"/>
      <c r="Y66" s="1"/>
      <c r="Z66" s="24"/>
      <c r="AA66" s="24"/>
      <c r="AB66" s="20"/>
      <c r="AC66" s="60"/>
      <c r="AD66" s="1"/>
      <c r="AE66" s="24"/>
      <c r="AF66" s="24"/>
      <c r="AG66" s="20"/>
      <c r="AH66" s="60"/>
      <c r="AI66" s="1"/>
      <c r="AJ66" s="24"/>
      <c r="AK66" s="24"/>
      <c r="AL66" s="20"/>
      <c r="AM66" s="60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5">
      <c r="A67" s="1"/>
      <c r="B67" s="20"/>
      <c r="C67" s="1"/>
      <c r="E67" s="1"/>
      <c r="G67" s="1"/>
      <c r="H67" s="24"/>
      <c r="I67" s="60"/>
      <c r="J67" s="1"/>
      <c r="K67" s="24"/>
      <c r="L67" s="24"/>
      <c r="M67" s="20"/>
      <c r="N67" s="60"/>
      <c r="O67" s="1"/>
      <c r="P67" s="24"/>
      <c r="Q67" s="24"/>
      <c r="R67" s="20"/>
      <c r="S67" s="60"/>
      <c r="T67" s="1"/>
      <c r="U67" s="24"/>
      <c r="V67" s="24"/>
      <c r="W67" s="20"/>
      <c r="X67" s="60"/>
      <c r="Y67" s="1"/>
      <c r="Z67" s="24"/>
      <c r="AA67" s="24"/>
      <c r="AB67" s="20"/>
      <c r="AC67" s="60"/>
      <c r="AD67" s="1"/>
      <c r="AE67" s="24"/>
      <c r="AF67" s="24"/>
      <c r="AG67" s="20"/>
      <c r="AH67" s="60"/>
      <c r="AJ67" s="24"/>
      <c r="AK67" s="24"/>
      <c r="AL67" s="20"/>
      <c r="AM67" s="60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5">
      <c r="A68" s="1"/>
      <c r="B68" s="20"/>
      <c r="C68" s="1"/>
      <c r="E68" s="1"/>
      <c r="G68" s="1"/>
      <c r="H68" s="24"/>
      <c r="I68" s="60"/>
      <c r="J68" s="1"/>
      <c r="K68" s="24"/>
      <c r="L68" s="24"/>
      <c r="M68" s="20"/>
      <c r="N68" s="60"/>
      <c r="O68" s="1"/>
      <c r="P68" s="24"/>
      <c r="Q68" s="24"/>
      <c r="R68" s="20"/>
      <c r="S68" s="60"/>
      <c r="T68" s="1"/>
      <c r="U68" s="24"/>
      <c r="V68" s="24"/>
      <c r="W68" s="20"/>
      <c r="X68" s="60"/>
      <c r="Y68" s="1"/>
      <c r="Z68" s="24"/>
      <c r="AA68" s="24"/>
      <c r="AB68" s="20"/>
      <c r="AC68" s="60"/>
      <c r="AD68" s="1"/>
      <c r="AE68" s="24"/>
      <c r="AF68" s="24"/>
      <c r="AG68" s="20"/>
      <c r="AH68" s="60"/>
      <c r="AJ68" s="24"/>
      <c r="AK68" s="24"/>
      <c r="AL68" s="20"/>
      <c r="AM68" s="60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5">
      <c r="A69" s="1"/>
      <c r="B69" s="20"/>
      <c r="C69" s="1"/>
      <c r="E69" s="1"/>
      <c r="G69" s="1"/>
      <c r="H69" s="24"/>
      <c r="I69" s="60"/>
      <c r="J69" s="1"/>
      <c r="K69" s="24"/>
      <c r="L69" s="24"/>
      <c r="M69" s="20"/>
      <c r="N69" s="60"/>
      <c r="O69" s="1"/>
      <c r="P69" s="24"/>
      <c r="Q69" s="24"/>
      <c r="R69" s="20"/>
      <c r="S69" s="60"/>
      <c r="T69" s="1"/>
      <c r="U69" s="24"/>
      <c r="V69" s="24"/>
      <c r="W69" s="20"/>
      <c r="X69" s="60"/>
      <c r="Y69" s="1"/>
      <c r="Z69" s="24"/>
      <c r="AA69" s="24"/>
      <c r="AB69" s="20"/>
      <c r="AC69" s="60"/>
      <c r="AD69" s="1"/>
      <c r="AE69" s="24"/>
      <c r="AF69" s="24"/>
      <c r="AG69" s="20"/>
      <c r="AH69" s="60"/>
      <c r="AJ69" s="24"/>
      <c r="AK69" s="24"/>
      <c r="AL69" s="20"/>
      <c r="AM69" s="60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5">
      <c r="A70" s="1"/>
      <c r="B70" s="20"/>
      <c r="C70" s="1"/>
      <c r="E70" s="1"/>
      <c r="G70" s="1"/>
      <c r="H70" s="24"/>
      <c r="I70" s="60"/>
      <c r="J70" s="1"/>
      <c r="K70" s="24"/>
      <c r="L70" s="24"/>
      <c r="M70" s="20"/>
      <c r="N70" s="60"/>
      <c r="O70" s="1"/>
      <c r="P70" s="24"/>
      <c r="Q70" s="24"/>
      <c r="R70" s="20"/>
      <c r="S70" s="60"/>
      <c r="T70" s="1"/>
      <c r="U70" s="24"/>
      <c r="V70" s="24"/>
      <c r="W70" s="20"/>
      <c r="X70" s="60"/>
      <c r="Y70" s="1"/>
      <c r="Z70" s="24"/>
      <c r="AA70" s="24"/>
      <c r="AB70" s="20"/>
      <c r="AC70" s="60"/>
      <c r="AD70" s="1"/>
      <c r="AE70" s="24"/>
      <c r="AF70" s="24"/>
      <c r="AG70" s="20"/>
      <c r="AH70" s="60"/>
      <c r="AJ70" s="24"/>
      <c r="AK70" s="24"/>
      <c r="AL70" s="20"/>
      <c r="AM70" s="60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5">
      <c r="A71" s="1"/>
      <c r="B71" s="20"/>
      <c r="C71" s="1"/>
      <c r="E71" s="1"/>
      <c r="G71" s="1"/>
      <c r="H71" s="24"/>
      <c r="I71" s="60"/>
      <c r="J71" s="1"/>
      <c r="K71" s="24"/>
      <c r="L71" s="24"/>
      <c r="M71" s="20"/>
      <c r="N71" s="60"/>
      <c r="O71" s="1"/>
      <c r="P71" s="24"/>
      <c r="Q71" s="24"/>
      <c r="R71" s="20"/>
      <c r="S71" s="60"/>
      <c r="T71" s="1"/>
      <c r="U71" s="24"/>
      <c r="V71" s="24"/>
      <c r="W71" s="20"/>
      <c r="X71" s="60"/>
      <c r="Y71" s="1"/>
      <c r="Z71" s="24"/>
      <c r="AA71" s="24"/>
      <c r="AB71" s="20"/>
      <c r="AC71" s="60"/>
      <c r="AD71" s="1"/>
      <c r="AE71" s="24"/>
      <c r="AF71" s="24"/>
      <c r="AG71" s="20"/>
      <c r="AH71" s="60"/>
      <c r="AJ71" s="24"/>
      <c r="AK71" s="24"/>
      <c r="AL71" s="20"/>
      <c r="AM71" s="60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5">
      <c r="A72" s="1"/>
      <c r="B72" s="20"/>
      <c r="C72" s="1"/>
      <c r="E72" s="1"/>
      <c r="G72" s="1"/>
      <c r="H72" s="24"/>
      <c r="I72" s="60"/>
      <c r="J72" s="1"/>
      <c r="K72" s="24"/>
      <c r="L72" s="24"/>
      <c r="M72" s="20"/>
      <c r="N72" s="60"/>
      <c r="O72" s="1"/>
      <c r="P72" s="24"/>
      <c r="Q72" s="24"/>
      <c r="R72" s="20"/>
      <c r="S72" s="60"/>
      <c r="T72" s="1"/>
      <c r="U72" s="24"/>
      <c r="V72" s="24"/>
      <c r="W72" s="20"/>
      <c r="X72" s="60"/>
      <c r="Y72" s="1"/>
      <c r="Z72" s="24"/>
      <c r="AA72" s="24"/>
      <c r="AB72" s="20"/>
      <c r="AC72" s="60"/>
      <c r="AD72" s="1"/>
      <c r="AE72" s="24"/>
      <c r="AF72" s="24"/>
      <c r="AG72" s="20"/>
      <c r="AH72" s="60"/>
      <c r="AJ72" s="24"/>
      <c r="AK72" s="24"/>
      <c r="AL72" s="20"/>
      <c r="AM72" s="60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5">
      <c r="A73" s="1"/>
      <c r="B73" s="20"/>
      <c r="C73" s="1"/>
      <c r="E73" s="1"/>
      <c r="G73" s="1"/>
      <c r="H73" s="24"/>
      <c r="I73" s="60"/>
      <c r="J73" s="1"/>
      <c r="K73" s="24"/>
      <c r="L73" s="24"/>
      <c r="M73" s="20"/>
      <c r="N73" s="60"/>
      <c r="O73" s="1"/>
      <c r="P73" s="24"/>
      <c r="Q73" s="24"/>
      <c r="R73" s="20"/>
      <c r="S73" s="60"/>
      <c r="T73" s="1"/>
      <c r="U73" s="24"/>
      <c r="V73" s="24"/>
      <c r="W73" s="20"/>
      <c r="X73" s="60"/>
      <c r="Y73" s="1"/>
      <c r="Z73" s="24"/>
      <c r="AA73" s="24"/>
      <c r="AB73" s="20"/>
      <c r="AC73" s="60"/>
      <c r="AD73" s="1"/>
      <c r="AE73" s="24"/>
      <c r="AF73" s="24"/>
      <c r="AG73" s="20"/>
      <c r="AH73" s="60"/>
      <c r="AJ73" s="24"/>
      <c r="AK73" s="24"/>
      <c r="AL73" s="20"/>
      <c r="AM73" s="60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1"/>
      <c r="B74" s="20"/>
      <c r="C74" s="1"/>
      <c r="E74" s="1"/>
      <c r="G74" s="1"/>
      <c r="H74" s="24"/>
      <c r="I74" s="60"/>
      <c r="J74" s="1"/>
      <c r="K74" s="24"/>
      <c r="L74" s="24"/>
      <c r="M74" s="20"/>
      <c r="N74" s="60"/>
      <c r="O74" s="1"/>
      <c r="P74" s="24"/>
      <c r="Q74" s="24"/>
      <c r="R74" s="20"/>
      <c r="S74" s="60"/>
      <c r="T74" s="1"/>
      <c r="U74" s="24"/>
      <c r="V74" s="24"/>
      <c r="W74" s="20"/>
      <c r="X74" s="60"/>
      <c r="Y74" s="1"/>
      <c r="Z74" s="24"/>
      <c r="AA74" s="24"/>
      <c r="AB74" s="20"/>
      <c r="AC74" s="60"/>
      <c r="AD74" s="1"/>
      <c r="AE74" s="24"/>
      <c r="AF74" s="24"/>
      <c r="AG74" s="20"/>
      <c r="AH74" s="60"/>
      <c r="AJ74" s="24"/>
      <c r="AK74" s="24"/>
      <c r="AL74" s="20"/>
      <c r="AM74" s="60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1"/>
      <c r="B75" s="20"/>
      <c r="C75" s="1"/>
      <c r="E75" s="1"/>
      <c r="G75" s="1"/>
      <c r="H75" s="24"/>
      <c r="I75" s="60"/>
      <c r="J75" s="1"/>
      <c r="K75" s="24"/>
      <c r="L75" s="24"/>
      <c r="M75" s="20"/>
      <c r="N75" s="60"/>
      <c r="O75" s="1"/>
      <c r="P75" s="24"/>
      <c r="Q75" s="24"/>
      <c r="R75" s="20"/>
      <c r="S75" s="60"/>
      <c r="T75" s="1"/>
      <c r="U75" s="24"/>
      <c r="V75" s="24"/>
      <c r="W75" s="20"/>
      <c r="X75" s="60"/>
      <c r="Y75" s="1"/>
      <c r="Z75" s="24"/>
      <c r="AA75" s="24"/>
      <c r="AB75" s="20"/>
      <c r="AC75" s="60"/>
      <c r="AD75" s="1"/>
      <c r="AE75" s="24"/>
      <c r="AF75" s="24"/>
      <c r="AG75" s="20"/>
      <c r="AH75" s="60"/>
      <c r="AJ75" s="24"/>
      <c r="AK75" s="24"/>
      <c r="AL75" s="20"/>
      <c r="AM75" s="60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5">
      <c r="A76" s="1"/>
      <c r="B76" s="20"/>
      <c r="C76" s="1"/>
      <c r="E76" s="1"/>
      <c r="G76" s="1"/>
      <c r="H76" s="24"/>
      <c r="I76" s="60"/>
      <c r="J76" s="1"/>
      <c r="K76" s="24"/>
      <c r="L76" s="24"/>
      <c r="M76" s="20"/>
      <c r="N76" s="60"/>
      <c r="O76" s="1"/>
      <c r="P76" s="24"/>
      <c r="Q76" s="24"/>
      <c r="R76" s="20"/>
      <c r="S76" s="60"/>
      <c r="T76" s="1"/>
      <c r="U76" s="24"/>
      <c r="V76" s="24"/>
      <c r="W76" s="20"/>
      <c r="X76" s="60"/>
      <c r="Y76" s="1"/>
      <c r="Z76" s="24"/>
      <c r="AA76" s="24"/>
      <c r="AB76" s="20"/>
      <c r="AC76" s="60"/>
      <c r="AD76" s="1"/>
      <c r="AE76" s="24"/>
      <c r="AF76" s="24"/>
      <c r="AG76" s="20"/>
      <c r="AH76" s="60"/>
      <c r="AJ76" s="24"/>
      <c r="AK76" s="24"/>
      <c r="AL76" s="20"/>
      <c r="AM76" s="60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5">
      <c r="A77" s="1"/>
      <c r="B77" s="20"/>
      <c r="C77" s="1"/>
      <c r="E77" s="1"/>
      <c r="G77" s="1"/>
      <c r="H77" s="24"/>
      <c r="I77" s="60"/>
      <c r="J77" s="1"/>
      <c r="K77" s="24"/>
      <c r="L77" s="24"/>
      <c r="M77" s="20"/>
      <c r="N77" s="60"/>
      <c r="O77" s="1"/>
      <c r="P77" s="24"/>
      <c r="Q77" s="24"/>
      <c r="R77" s="20"/>
      <c r="S77" s="60"/>
      <c r="T77" s="1"/>
      <c r="U77" s="24"/>
      <c r="V77" s="24"/>
      <c r="W77" s="20"/>
      <c r="X77" s="60"/>
      <c r="Y77" s="1"/>
      <c r="Z77" s="24"/>
      <c r="AA77" s="24"/>
      <c r="AB77" s="20"/>
      <c r="AC77" s="60"/>
      <c r="AD77" s="1"/>
      <c r="AE77" s="24"/>
      <c r="AF77" s="24"/>
      <c r="AG77" s="20"/>
      <c r="AH77" s="60"/>
      <c r="AJ77" s="24"/>
      <c r="AK77" s="24"/>
      <c r="AL77" s="20"/>
      <c r="AM77" s="60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5">
      <c r="A78" s="1"/>
      <c r="B78" s="20"/>
      <c r="C78" s="1"/>
      <c r="E78" s="1"/>
      <c r="G78" s="1"/>
      <c r="H78" s="24"/>
      <c r="I78" s="60"/>
      <c r="J78" s="1"/>
      <c r="K78" s="24"/>
      <c r="L78" s="24"/>
      <c r="M78" s="20"/>
      <c r="N78" s="60"/>
      <c r="O78" s="1"/>
      <c r="P78" s="24"/>
      <c r="Q78" s="24"/>
      <c r="R78" s="20"/>
      <c r="S78" s="60"/>
      <c r="T78" s="1"/>
      <c r="U78" s="24"/>
      <c r="V78" s="24"/>
      <c r="W78" s="20"/>
      <c r="X78" s="60"/>
      <c r="Y78" s="1"/>
      <c r="Z78" s="24"/>
      <c r="AA78" s="24"/>
      <c r="AB78" s="20"/>
      <c r="AC78" s="60"/>
      <c r="AD78" s="1"/>
      <c r="AE78" s="24"/>
      <c r="AF78" s="24"/>
      <c r="AG78" s="20"/>
      <c r="AH78" s="60"/>
      <c r="AJ78" s="24"/>
      <c r="AK78" s="24"/>
      <c r="AL78" s="20"/>
      <c r="AM78" s="60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5">
      <c r="A79" s="1"/>
      <c r="B79" s="20"/>
      <c r="C79" s="1"/>
      <c r="E79" s="1"/>
      <c r="G79" s="1"/>
      <c r="H79" s="24"/>
      <c r="I79" s="60"/>
      <c r="J79" s="1"/>
      <c r="K79" s="24"/>
      <c r="L79" s="24"/>
      <c r="M79" s="20"/>
      <c r="N79" s="60"/>
      <c r="O79" s="1"/>
      <c r="P79" s="24"/>
      <c r="Q79" s="24"/>
      <c r="R79" s="20"/>
      <c r="S79" s="60"/>
      <c r="T79" s="1"/>
      <c r="U79" s="24"/>
      <c r="V79" s="24"/>
      <c r="W79" s="20"/>
      <c r="X79" s="60"/>
      <c r="Y79" s="1"/>
      <c r="Z79" s="24"/>
      <c r="AA79" s="24"/>
      <c r="AB79" s="20"/>
      <c r="AC79" s="60"/>
      <c r="AD79" s="1"/>
      <c r="AE79" s="24"/>
      <c r="AF79" s="24"/>
      <c r="AG79" s="20"/>
      <c r="AH79" s="60"/>
      <c r="AJ79" s="24"/>
      <c r="AK79" s="24"/>
      <c r="AL79" s="20"/>
      <c r="AM79" s="60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5">
      <c r="A80" s="1"/>
      <c r="B80" s="20"/>
      <c r="C80" s="1"/>
      <c r="E80" s="1"/>
      <c r="G80" s="1"/>
      <c r="H80" s="24"/>
      <c r="I80" s="60"/>
      <c r="J80" s="1"/>
      <c r="K80" s="24"/>
      <c r="L80" s="24"/>
      <c r="M80" s="20"/>
      <c r="N80" s="60"/>
      <c r="O80" s="1"/>
      <c r="P80" s="24"/>
      <c r="Q80" s="24"/>
      <c r="R80" s="20"/>
      <c r="S80" s="60"/>
      <c r="T80" s="1"/>
      <c r="U80" s="24"/>
      <c r="V80" s="24"/>
      <c r="W80" s="20"/>
      <c r="X80" s="60"/>
      <c r="Y80" s="1"/>
      <c r="Z80" s="24"/>
      <c r="AA80" s="24"/>
      <c r="AB80" s="20"/>
      <c r="AC80" s="60"/>
      <c r="AD80" s="1"/>
      <c r="AE80" s="24"/>
      <c r="AF80" s="24"/>
      <c r="AG80" s="20"/>
      <c r="AH80" s="60"/>
      <c r="AJ80" s="24"/>
      <c r="AK80" s="24"/>
      <c r="AL80" s="20"/>
      <c r="AM80" s="60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5">
      <c r="A81" s="1"/>
      <c r="B81" s="20"/>
      <c r="C81" s="1"/>
      <c r="E81" s="1"/>
      <c r="G81" s="1"/>
      <c r="H81" s="24"/>
      <c r="I81" s="60"/>
      <c r="J81" s="1"/>
      <c r="K81" s="24"/>
      <c r="L81" s="24"/>
      <c r="M81" s="20"/>
      <c r="N81" s="60"/>
      <c r="O81" s="1"/>
      <c r="P81" s="24"/>
      <c r="Q81" s="24"/>
      <c r="R81" s="20"/>
      <c r="S81" s="60"/>
      <c r="T81" s="1"/>
      <c r="U81" s="24"/>
      <c r="V81" s="24"/>
      <c r="W81" s="20"/>
      <c r="X81" s="60"/>
      <c r="Y81" s="1"/>
      <c r="Z81" s="24"/>
      <c r="AA81" s="24"/>
      <c r="AB81" s="20"/>
      <c r="AC81" s="60"/>
      <c r="AD81" s="1"/>
      <c r="AE81" s="24"/>
      <c r="AF81" s="24"/>
      <c r="AG81" s="20"/>
      <c r="AH81" s="60"/>
      <c r="AJ81" s="24"/>
      <c r="AK81" s="24"/>
      <c r="AL81" s="20"/>
      <c r="AM81" s="60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5">
      <c r="A82" s="1"/>
      <c r="B82" s="20"/>
      <c r="C82" s="1"/>
      <c r="E82" s="1"/>
      <c r="G82" s="1"/>
      <c r="H82" s="24"/>
      <c r="I82" s="60"/>
      <c r="J82" s="1"/>
      <c r="K82" s="24"/>
      <c r="L82" s="24"/>
      <c r="M82" s="20"/>
      <c r="N82" s="60"/>
      <c r="O82" s="1"/>
      <c r="P82" s="24"/>
      <c r="Q82" s="24"/>
      <c r="R82" s="20"/>
      <c r="S82" s="60"/>
      <c r="T82" s="1"/>
      <c r="U82" s="24"/>
      <c r="V82" s="24"/>
      <c r="W82" s="20"/>
      <c r="X82" s="60"/>
      <c r="Y82" s="1"/>
      <c r="Z82" s="24"/>
      <c r="AA82" s="24"/>
      <c r="AB82" s="20"/>
      <c r="AC82" s="60"/>
      <c r="AD82" s="1"/>
      <c r="AE82" s="24"/>
      <c r="AF82" s="24"/>
      <c r="AG82" s="20"/>
      <c r="AH82" s="60"/>
      <c r="AJ82" s="24"/>
      <c r="AK82" s="24"/>
      <c r="AL82" s="20"/>
      <c r="AM82" s="60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5">
      <c r="A83" s="1"/>
      <c r="B83" s="20"/>
      <c r="C83" s="1"/>
      <c r="E83" s="1"/>
      <c r="G83" s="1"/>
      <c r="H83" s="24"/>
      <c r="I83" s="60"/>
      <c r="J83" s="1"/>
      <c r="K83" s="24"/>
      <c r="L83" s="24"/>
      <c r="M83" s="20"/>
      <c r="N83" s="60"/>
      <c r="O83" s="1"/>
      <c r="P83" s="24"/>
      <c r="Q83" s="24"/>
      <c r="R83" s="20"/>
      <c r="S83" s="60"/>
      <c r="T83" s="1"/>
      <c r="U83" s="24"/>
      <c r="V83" s="24"/>
      <c r="W83" s="20"/>
      <c r="X83" s="60"/>
      <c r="Y83" s="1"/>
      <c r="Z83" s="24"/>
      <c r="AA83" s="24"/>
      <c r="AB83" s="20"/>
      <c r="AC83" s="60"/>
      <c r="AD83" s="1"/>
      <c r="AE83" s="24"/>
      <c r="AF83" s="24"/>
      <c r="AG83" s="20"/>
      <c r="AH83" s="60"/>
      <c r="AJ83" s="24"/>
      <c r="AK83" s="24"/>
      <c r="AL83" s="20"/>
      <c r="AM83" s="60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1"/>
      <c r="B84" s="20"/>
      <c r="C84" s="1"/>
      <c r="E84" s="1"/>
      <c r="G84" s="1"/>
      <c r="H84" s="24"/>
      <c r="I84" s="60"/>
      <c r="J84" s="1"/>
      <c r="K84" s="24"/>
      <c r="L84" s="24"/>
      <c r="M84" s="20"/>
      <c r="N84" s="60"/>
      <c r="O84" s="1"/>
      <c r="P84" s="24"/>
      <c r="Q84" s="24"/>
      <c r="R84" s="20"/>
      <c r="S84" s="60"/>
      <c r="T84" s="1"/>
      <c r="U84" s="24"/>
      <c r="V84" s="24"/>
      <c r="W84" s="20"/>
      <c r="X84" s="60"/>
      <c r="Y84" s="1"/>
      <c r="Z84" s="24"/>
      <c r="AA84" s="24"/>
      <c r="AB84" s="20"/>
      <c r="AC84" s="60"/>
      <c r="AD84" s="1"/>
      <c r="AE84" s="24"/>
      <c r="AF84" s="24"/>
      <c r="AG84" s="20"/>
      <c r="AH84" s="60"/>
      <c r="AJ84" s="24"/>
      <c r="AK84" s="24"/>
      <c r="AL84" s="20"/>
      <c r="AM84" s="60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5">
      <c r="A85" s="1"/>
      <c r="B85" s="20"/>
      <c r="C85" s="1"/>
      <c r="E85" s="1"/>
      <c r="G85" s="1"/>
      <c r="H85" s="24"/>
      <c r="I85" s="60"/>
      <c r="J85" s="1"/>
      <c r="K85" s="24"/>
      <c r="L85" s="24"/>
      <c r="M85" s="20"/>
      <c r="N85" s="60"/>
      <c r="O85" s="1"/>
      <c r="P85" s="24"/>
      <c r="Q85" s="24"/>
      <c r="R85" s="20"/>
      <c r="S85" s="60"/>
      <c r="T85" s="1"/>
      <c r="U85" s="24"/>
      <c r="V85" s="24"/>
      <c r="W85" s="20"/>
      <c r="X85" s="60"/>
      <c r="Y85" s="1"/>
      <c r="Z85" s="24"/>
      <c r="AA85" s="24"/>
      <c r="AB85" s="20"/>
      <c r="AC85" s="60"/>
      <c r="AD85" s="1"/>
      <c r="AE85" s="24"/>
      <c r="AF85" s="24"/>
      <c r="AG85" s="20"/>
      <c r="AH85" s="60"/>
      <c r="AJ85" s="24"/>
      <c r="AK85" s="24"/>
      <c r="AL85" s="20"/>
      <c r="AM85" s="60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5">
      <c r="A86" s="1"/>
      <c r="B86" s="20"/>
      <c r="C86" s="1"/>
      <c r="E86" s="1"/>
      <c r="G86" s="1"/>
      <c r="H86" s="24"/>
      <c r="I86" s="60"/>
      <c r="J86" s="1"/>
      <c r="K86" s="24"/>
      <c r="L86" s="24"/>
      <c r="M86" s="20"/>
      <c r="N86" s="60"/>
      <c r="O86" s="1"/>
      <c r="P86" s="24"/>
      <c r="Q86" s="24"/>
      <c r="R86" s="20"/>
      <c r="S86" s="60"/>
      <c r="T86" s="1"/>
      <c r="U86" s="24"/>
      <c r="V86" s="24"/>
      <c r="W86" s="20"/>
      <c r="X86" s="60"/>
      <c r="Y86" s="1"/>
      <c r="Z86" s="24"/>
      <c r="AA86" s="24"/>
      <c r="AB86" s="20"/>
      <c r="AC86" s="60"/>
      <c r="AD86" s="1"/>
      <c r="AE86" s="24"/>
      <c r="AF86" s="24"/>
      <c r="AG86" s="20"/>
      <c r="AH86" s="60"/>
      <c r="AJ86" s="24"/>
      <c r="AK86" s="24"/>
      <c r="AL86" s="20"/>
      <c r="AM86" s="60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5">
      <c r="A87" s="1"/>
      <c r="B87" s="20"/>
      <c r="C87" s="1"/>
      <c r="E87" s="1"/>
      <c r="G87" s="1"/>
      <c r="H87" s="24"/>
      <c r="I87" s="60"/>
      <c r="J87" s="1"/>
      <c r="K87" s="24"/>
      <c r="L87" s="24"/>
      <c r="M87" s="20"/>
      <c r="N87" s="60"/>
      <c r="O87" s="1"/>
      <c r="P87" s="24"/>
      <c r="Q87" s="24"/>
      <c r="R87" s="20"/>
      <c r="S87" s="60"/>
      <c r="T87" s="1"/>
      <c r="U87" s="24"/>
      <c r="V87" s="24"/>
      <c r="W87" s="20"/>
      <c r="X87" s="60"/>
      <c r="Y87" s="1"/>
      <c r="Z87" s="24"/>
      <c r="AA87" s="24"/>
      <c r="AB87" s="20"/>
      <c r="AC87" s="60"/>
      <c r="AD87" s="1"/>
      <c r="AE87" s="24"/>
      <c r="AF87" s="24"/>
      <c r="AG87" s="20"/>
      <c r="AH87" s="60"/>
      <c r="AJ87" s="24"/>
      <c r="AK87" s="24"/>
      <c r="AL87" s="20"/>
      <c r="AM87" s="60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5">
      <c r="A88" s="1"/>
      <c r="B88" s="20"/>
      <c r="C88" s="1"/>
      <c r="E88" s="1"/>
      <c r="G88" s="1"/>
      <c r="H88" s="24"/>
      <c r="I88" s="60"/>
      <c r="J88" s="1"/>
      <c r="K88" s="24"/>
      <c r="L88" s="24"/>
      <c r="M88" s="20"/>
      <c r="N88" s="60"/>
      <c r="O88" s="1"/>
      <c r="P88" s="24"/>
      <c r="Q88" s="24"/>
      <c r="R88" s="20"/>
      <c r="S88" s="60"/>
      <c r="T88" s="1"/>
      <c r="U88" s="24"/>
      <c r="V88" s="24"/>
      <c r="W88" s="20"/>
      <c r="X88" s="60"/>
      <c r="Y88" s="1"/>
      <c r="Z88" s="24"/>
      <c r="AA88" s="24"/>
      <c r="AB88" s="20"/>
      <c r="AC88" s="60"/>
      <c r="AD88" s="1"/>
      <c r="AE88" s="24"/>
      <c r="AF88" s="24"/>
      <c r="AG88" s="20"/>
      <c r="AH88" s="60"/>
      <c r="AJ88" s="24"/>
      <c r="AK88" s="24"/>
      <c r="AL88" s="20"/>
      <c r="AM88" s="60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5">
      <c r="A89" s="1"/>
      <c r="B89" s="20"/>
      <c r="C89" s="1"/>
      <c r="E89" s="1"/>
      <c r="G89" s="1"/>
      <c r="H89" s="24"/>
      <c r="I89" s="60"/>
      <c r="J89" s="1"/>
      <c r="K89" s="24"/>
      <c r="L89" s="24"/>
      <c r="M89" s="20"/>
      <c r="N89" s="60"/>
      <c r="O89" s="1"/>
      <c r="P89" s="24"/>
      <c r="Q89" s="24"/>
      <c r="R89" s="20"/>
      <c r="S89" s="60"/>
      <c r="T89" s="1"/>
      <c r="U89" s="24"/>
      <c r="V89" s="24"/>
      <c r="W89" s="20"/>
      <c r="X89" s="60"/>
      <c r="Y89" s="1"/>
      <c r="Z89" s="24"/>
      <c r="AA89" s="24"/>
      <c r="AB89" s="20"/>
      <c r="AC89" s="60"/>
      <c r="AD89" s="1"/>
      <c r="AE89" s="24"/>
      <c r="AF89" s="24"/>
      <c r="AG89" s="20"/>
      <c r="AH89" s="60"/>
      <c r="AJ89" s="24"/>
      <c r="AK89" s="24"/>
      <c r="AL89" s="20"/>
      <c r="AM89" s="60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5">
      <c r="A90" s="1"/>
      <c r="B90" s="20"/>
      <c r="C90" s="1"/>
      <c r="E90" s="1"/>
      <c r="G90" s="1"/>
      <c r="H90" s="24"/>
      <c r="I90" s="60"/>
      <c r="J90" s="1"/>
      <c r="K90" s="24"/>
      <c r="L90" s="24"/>
      <c r="M90" s="20"/>
      <c r="N90" s="60"/>
      <c r="O90" s="1"/>
      <c r="P90" s="24"/>
      <c r="Q90" s="24"/>
      <c r="R90" s="20"/>
      <c r="S90" s="60"/>
      <c r="T90" s="1"/>
      <c r="U90" s="24"/>
      <c r="V90" s="24"/>
      <c r="W90" s="20"/>
      <c r="X90" s="60"/>
      <c r="Y90" s="1"/>
      <c r="Z90" s="24"/>
      <c r="AA90" s="24"/>
      <c r="AB90" s="20"/>
      <c r="AC90" s="60"/>
      <c r="AD90" s="1"/>
      <c r="AE90" s="24"/>
      <c r="AF90" s="24"/>
      <c r="AG90" s="20"/>
      <c r="AH90" s="60"/>
      <c r="AJ90" s="24"/>
      <c r="AK90" s="24"/>
      <c r="AL90" s="20"/>
      <c r="AM90" s="60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5">
      <c r="A91" s="1"/>
      <c r="B91" s="20"/>
      <c r="C91" s="1"/>
      <c r="E91" s="1"/>
      <c r="G91" s="1"/>
      <c r="H91" s="24"/>
      <c r="I91" s="60"/>
      <c r="J91" s="1"/>
      <c r="K91" s="24"/>
      <c r="L91" s="24"/>
      <c r="M91" s="20"/>
      <c r="N91" s="60"/>
      <c r="O91" s="1"/>
      <c r="P91" s="24"/>
      <c r="Q91" s="24"/>
      <c r="R91" s="20"/>
      <c r="S91" s="60"/>
      <c r="T91" s="1"/>
      <c r="U91" s="24"/>
      <c r="V91" s="24"/>
      <c r="W91" s="20"/>
      <c r="X91" s="60"/>
      <c r="Y91" s="1"/>
      <c r="Z91" s="24"/>
      <c r="AA91" s="24"/>
      <c r="AB91" s="20"/>
      <c r="AC91" s="60"/>
      <c r="AD91" s="1"/>
      <c r="AE91" s="24"/>
      <c r="AF91" s="24"/>
      <c r="AG91" s="20"/>
      <c r="AH91" s="60"/>
      <c r="AJ91" s="24"/>
      <c r="AK91" s="24"/>
      <c r="AL91" s="20"/>
      <c r="AM91" s="60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5">
      <c r="A92" s="1"/>
      <c r="B92" s="20"/>
      <c r="C92" s="1"/>
      <c r="E92" s="1"/>
      <c r="G92" s="1"/>
      <c r="H92" s="24"/>
      <c r="I92" s="60"/>
      <c r="J92" s="1"/>
      <c r="K92" s="24"/>
      <c r="L92" s="24"/>
      <c r="M92" s="20"/>
      <c r="N92" s="60"/>
      <c r="O92" s="1"/>
      <c r="P92" s="24"/>
      <c r="Q92" s="24"/>
      <c r="R92" s="20"/>
      <c r="S92" s="60"/>
      <c r="T92" s="1"/>
      <c r="U92" s="24"/>
      <c r="V92" s="24"/>
      <c r="W92" s="20"/>
      <c r="X92" s="60"/>
      <c r="Y92" s="1"/>
      <c r="Z92" s="24"/>
      <c r="AA92" s="24"/>
      <c r="AB92" s="20"/>
      <c r="AC92" s="60"/>
      <c r="AD92" s="1"/>
      <c r="AE92" s="24"/>
      <c r="AF92" s="24"/>
      <c r="AG92" s="20"/>
      <c r="AH92" s="60"/>
      <c r="AJ92" s="24"/>
      <c r="AK92" s="24"/>
      <c r="AL92" s="20"/>
      <c r="AM92" s="60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1"/>
      <c r="B93" s="20"/>
      <c r="C93" s="1"/>
      <c r="E93" s="1"/>
      <c r="G93" s="1"/>
      <c r="H93" s="24"/>
      <c r="I93" s="60"/>
      <c r="J93" s="1"/>
      <c r="K93" s="24"/>
      <c r="L93" s="24"/>
      <c r="M93" s="20"/>
      <c r="N93" s="60"/>
      <c r="O93" s="1"/>
      <c r="P93" s="24"/>
      <c r="Q93" s="24"/>
      <c r="R93" s="20"/>
      <c r="S93" s="60"/>
      <c r="T93" s="1"/>
      <c r="U93" s="24"/>
      <c r="V93" s="24"/>
      <c r="W93" s="20"/>
      <c r="X93" s="60"/>
      <c r="Y93" s="1"/>
      <c r="Z93" s="24"/>
      <c r="AA93" s="24"/>
      <c r="AB93" s="20"/>
      <c r="AC93" s="60"/>
      <c r="AD93" s="1"/>
      <c r="AE93" s="24"/>
      <c r="AF93" s="24"/>
      <c r="AG93" s="20"/>
      <c r="AH93" s="60"/>
      <c r="AJ93" s="24"/>
      <c r="AK93" s="24"/>
      <c r="AL93" s="20"/>
      <c r="AM93" s="60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5">
      <c r="A94" s="1"/>
      <c r="B94" s="20"/>
      <c r="C94" s="1"/>
      <c r="E94" s="1"/>
      <c r="G94" s="1"/>
      <c r="H94" s="24"/>
      <c r="I94" s="60"/>
      <c r="J94" s="1"/>
      <c r="K94" s="24"/>
      <c r="L94" s="24"/>
      <c r="M94" s="20"/>
      <c r="N94" s="60"/>
      <c r="O94" s="1"/>
      <c r="P94" s="24"/>
      <c r="Q94" s="24"/>
      <c r="R94" s="20"/>
      <c r="S94" s="60"/>
      <c r="T94" s="1"/>
      <c r="U94" s="24"/>
      <c r="V94" s="24"/>
      <c r="W94" s="20"/>
      <c r="X94" s="60"/>
      <c r="Y94" s="1"/>
      <c r="Z94" s="24"/>
      <c r="AA94" s="24"/>
      <c r="AB94" s="20"/>
      <c r="AC94" s="60"/>
      <c r="AD94" s="1"/>
      <c r="AE94" s="24"/>
      <c r="AF94" s="24"/>
      <c r="AG94" s="20"/>
      <c r="AH94" s="60"/>
      <c r="AJ94" s="24"/>
      <c r="AK94" s="24"/>
      <c r="AL94" s="20"/>
      <c r="AM94" s="60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5">
      <c r="A95" s="1"/>
      <c r="B95" s="20"/>
      <c r="C95" s="1"/>
      <c r="E95" s="1"/>
      <c r="G95" s="1"/>
      <c r="H95" s="24"/>
      <c r="I95" s="60"/>
      <c r="J95" s="1"/>
      <c r="K95" s="24"/>
      <c r="L95" s="24"/>
      <c r="M95" s="20"/>
      <c r="N95" s="60"/>
      <c r="O95" s="1"/>
      <c r="P95" s="24"/>
      <c r="Q95" s="24"/>
      <c r="R95" s="20"/>
      <c r="S95" s="60"/>
      <c r="T95" s="1"/>
      <c r="U95" s="24"/>
      <c r="V95" s="24"/>
      <c r="W95" s="20"/>
      <c r="X95" s="60"/>
      <c r="Y95" s="1"/>
      <c r="Z95" s="24"/>
      <c r="AA95" s="24"/>
      <c r="AB95" s="20"/>
      <c r="AC95" s="60"/>
      <c r="AD95" s="1"/>
      <c r="AE95" s="24"/>
      <c r="AF95" s="24"/>
      <c r="AG95" s="20"/>
      <c r="AH95" s="60"/>
      <c r="AJ95" s="24"/>
      <c r="AK95" s="24"/>
      <c r="AL95" s="20"/>
      <c r="AM95" s="60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5">
      <c r="A96" s="1"/>
      <c r="B96" s="20"/>
      <c r="C96" s="1"/>
      <c r="E96" s="1"/>
      <c r="G96" s="1"/>
      <c r="H96" s="24"/>
      <c r="I96" s="60"/>
      <c r="J96" s="1"/>
      <c r="K96" s="24"/>
      <c r="L96" s="24"/>
      <c r="M96" s="20"/>
      <c r="N96" s="60"/>
      <c r="O96" s="1"/>
      <c r="P96" s="24"/>
      <c r="Q96" s="24"/>
      <c r="R96" s="20"/>
      <c r="S96" s="60"/>
      <c r="T96" s="1"/>
      <c r="U96" s="24"/>
      <c r="V96" s="24"/>
      <c r="W96" s="20"/>
      <c r="X96" s="60"/>
      <c r="Y96" s="1"/>
      <c r="Z96" s="24"/>
      <c r="AA96" s="24"/>
      <c r="AB96" s="20"/>
      <c r="AC96" s="60"/>
      <c r="AD96" s="1"/>
      <c r="AE96" s="24"/>
      <c r="AF96" s="24"/>
      <c r="AG96" s="20"/>
      <c r="AH96" s="60"/>
      <c r="AJ96" s="24"/>
      <c r="AK96" s="24"/>
      <c r="AL96" s="20"/>
      <c r="AM96" s="60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5">
      <c r="A97" s="1"/>
      <c r="B97" s="20"/>
      <c r="C97" s="1"/>
      <c r="E97" s="1"/>
      <c r="G97" s="1"/>
      <c r="H97" s="24"/>
      <c r="I97" s="60"/>
      <c r="J97" s="1"/>
      <c r="K97" s="24"/>
      <c r="L97" s="24"/>
      <c r="M97" s="20"/>
      <c r="N97" s="60"/>
      <c r="O97" s="1"/>
      <c r="P97" s="24"/>
      <c r="Q97" s="24"/>
      <c r="R97" s="20"/>
      <c r="S97" s="60"/>
      <c r="T97" s="1"/>
      <c r="U97" s="24"/>
      <c r="V97" s="24"/>
      <c r="W97" s="20"/>
      <c r="X97" s="60"/>
      <c r="Y97" s="1"/>
      <c r="Z97" s="24"/>
      <c r="AA97" s="24"/>
      <c r="AB97" s="20"/>
      <c r="AC97" s="60"/>
      <c r="AD97" s="1"/>
      <c r="AE97" s="24"/>
      <c r="AF97" s="24"/>
      <c r="AG97" s="20"/>
      <c r="AH97" s="60"/>
      <c r="AJ97" s="24"/>
      <c r="AK97" s="24"/>
      <c r="AL97" s="20"/>
      <c r="AM97" s="60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5">
      <c r="A98" s="1"/>
      <c r="B98" s="20"/>
      <c r="C98" s="1"/>
      <c r="E98" s="1"/>
      <c r="G98" s="1"/>
      <c r="H98" s="24"/>
      <c r="I98" s="60"/>
      <c r="J98" s="1"/>
      <c r="K98" s="24"/>
      <c r="L98" s="24"/>
      <c r="M98" s="20"/>
      <c r="N98" s="60"/>
      <c r="O98" s="1"/>
      <c r="P98" s="24"/>
      <c r="Q98" s="24"/>
      <c r="R98" s="20"/>
      <c r="S98" s="60"/>
      <c r="T98" s="1"/>
      <c r="U98" s="24"/>
      <c r="V98" s="24"/>
      <c r="W98" s="20"/>
      <c r="X98" s="60"/>
      <c r="Y98" s="1"/>
      <c r="Z98" s="24"/>
      <c r="AA98" s="24"/>
      <c r="AB98" s="20"/>
      <c r="AC98" s="60"/>
      <c r="AD98" s="1"/>
      <c r="AE98" s="24"/>
      <c r="AF98" s="24"/>
      <c r="AG98" s="20"/>
      <c r="AH98" s="60"/>
      <c r="AJ98" s="24"/>
      <c r="AK98" s="24"/>
      <c r="AL98" s="20"/>
      <c r="AM98" s="60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5">
      <c r="A99" s="1"/>
      <c r="B99" s="20"/>
      <c r="C99" s="1"/>
      <c r="E99" s="1"/>
      <c r="G99" s="1"/>
      <c r="H99" s="24"/>
      <c r="I99" s="60"/>
      <c r="J99" s="1"/>
      <c r="K99" s="24"/>
      <c r="L99" s="24"/>
      <c r="M99" s="20"/>
      <c r="N99" s="60"/>
      <c r="O99" s="1"/>
      <c r="P99" s="24"/>
      <c r="Q99" s="24"/>
      <c r="R99" s="20"/>
      <c r="S99" s="60"/>
      <c r="T99" s="1"/>
      <c r="U99" s="24"/>
      <c r="V99" s="24"/>
      <c r="W99" s="20"/>
      <c r="X99" s="60"/>
      <c r="Y99" s="1"/>
      <c r="Z99" s="24"/>
      <c r="AA99" s="24"/>
      <c r="AB99" s="20"/>
      <c r="AC99" s="60"/>
      <c r="AD99" s="1"/>
      <c r="AE99" s="24"/>
      <c r="AF99" s="24"/>
      <c r="AG99" s="20"/>
      <c r="AH99" s="60"/>
      <c r="AJ99" s="24"/>
      <c r="AK99" s="24"/>
      <c r="AL99" s="20"/>
      <c r="AM99" s="60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5">
      <c r="A100" s="1"/>
      <c r="B100" s="20"/>
      <c r="C100" s="1"/>
      <c r="E100" s="1"/>
      <c r="G100" s="1"/>
      <c r="H100" s="24"/>
      <c r="I100" s="60"/>
      <c r="J100" s="1"/>
      <c r="K100" s="24"/>
      <c r="L100" s="24"/>
      <c r="M100" s="20"/>
      <c r="N100" s="60"/>
      <c r="O100" s="1"/>
      <c r="P100" s="24"/>
      <c r="Q100" s="24"/>
      <c r="R100" s="20"/>
      <c r="S100" s="60"/>
      <c r="T100" s="1"/>
      <c r="U100" s="24"/>
      <c r="V100" s="24"/>
      <c r="W100" s="20"/>
      <c r="X100" s="60"/>
      <c r="Y100" s="1"/>
      <c r="Z100" s="24"/>
      <c r="AA100" s="24"/>
      <c r="AB100" s="20"/>
      <c r="AC100" s="60"/>
      <c r="AD100" s="1"/>
      <c r="AE100" s="24"/>
      <c r="AF100" s="24"/>
      <c r="AG100" s="20"/>
      <c r="AH100" s="60"/>
      <c r="AJ100" s="24"/>
      <c r="AK100" s="24"/>
      <c r="AL100" s="20"/>
      <c r="AM100" s="60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5">
      <c r="A101" s="1"/>
      <c r="B101" s="20"/>
      <c r="C101" s="1"/>
      <c r="E101" s="1"/>
      <c r="G101" s="1"/>
      <c r="H101" s="24"/>
      <c r="I101" s="60"/>
      <c r="J101" s="1"/>
      <c r="K101" s="24"/>
      <c r="L101" s="24"/>
      <c r="M101" s="20"/>
      <c r="N101" s="60"/>
      <c r="O101" s="1"/>
      <c r="P101" s="24"/>
      <c r="Q101" s="24"/>
      <c r="R101" s="20"/>
      <c r="S101" s="60"/>
      <c r="T101" s="1"/>
      <c r="U101" s="24"/>
      <c r="V101" s="24"/>
      <c r="W101" s="20"/>
      <c r="X101" s="60"/>
      <c r="Y101" s="1"/>
      <c r="Z101" s="24"/>
      <c r="AA101" s="24"/>
      <c r="AB101" s="20"/>
      <c r="AC101" s="60"/>
      <c r="AD101" s="1"/>
      <c r="AE101" s="24"/>
      <c r="AF101" s="24"/>
      <c r="AG101" s="20"/>
      <c r="AH101" s="60"/>
      <c r="AJ101" s="24"/>
      <c r="AK101" s="24"/>
      <c r="AL101" s="20"/>
      <c r="AM101" s="60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5">
      <c r="A102" s="1"/>
      <c r="B102" s="20"/>
      <c r="C102" s="1"/>
      <c r="E102" s="1"/>
      <c r="G102" s="1"/>
      <c r="H102" s="24"/>
      <c r="I102" s="60"/>
      <c r="J102" s="1"/>
      <c r="K102" s="24"/>
      <c r="L102" s="24"/>
      <c r="M102" s="20"/>
      <c r="N102" s="60"/>
      <c r="O102" s="1"/>
      <c r="P102" s="24"/>
      <c r="Q102" s="24"/>
      <c r="R102" s="20"/>
      <c r="S102" s="60"/>
      <c r="T102" s="1"/>
      <c r="U102" s="24"/>
      <c r="V102" s="24"/>
      <c r="W102" s="20"/>
      <c r="X102" s="60"/>
      <c r="Y102" s="1"/>
      <c r="Z102" s="24"/>
      <c r="AA102" s="24"/>
      <c r="AB102" s="20"/>
      <c r="AC102" s="60"/>
      <c r="AD102" s="1"/>
      <c r="AE102" s="24"/>
      <c r="AF102" s="24"/>
      <c r="AG102" s="20"/>
      <c r="AH102" s="60"/>
      <c r="AJ102" s="24"/>
      <c r="AK102" s="24"/>
      <c r="AL102" s="20"/>
      <c r="AM102" s="60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5">
      <c r="A103" s="1"/>
      <c r="B103" s="20"/>
      <c r="C103" s="1"/>
      <c r="E103" s="1"/>
      <c r="G103" s="1"/>
      <c r="H103" s="24"/>
      <c r="I103" s="60"/>
      <c r="J103" s="1"/>
      <c r="K103" s="24"/>
      <c r="L103" s="24"/>
      <c r="M103" s="20"/>
      <c r="N103" s="60"/>
      <c r="O103" s="1"/>
      <c r="P103" s="24"/>
      <c r="Q103" s="24"/>
      <c r="R103" s="20"/>
      <c r="S103" s="60"/>
      <c r="T103" s="1"/>
      <c r="U103" s="24"/>
      <c r="V103" s="24"/>
      <c r="W103" s="20"/>
      <c r="X103" s="60"/>
      <c r="Y103" s="1"/>
      <c r="Z103" s="24"/>
      <c r="AA103" s="24"/>
      <c r="AB103" s="20"/>
      <c r="AC103" s="60"/>
      <c r="AD103" s="1"/>
      <c r="AE103" s="24"/>
      <c r="AF103" s="24"/>
      <c r="AG103" s="20"/>
      <c r="AH103" s="60"/>
      <c r="AJ103" s="24"/>
      <c r="AK103" s="24"/>
      <c r="AL103" s="20"/>
      <c r="AM103" s="60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5">
      <c r="A104" s="1"/>
      <c r="B104" s="20"/>
      <c r="C104" s="1"/>
      <c r="E104" s="1"/>
      <c r="G104" s="1"/>
      <c r="H104" s="24"/>
      <c r="I104" s="60"/>
      <c r="J104" s="1"/>
      <c r="K104" s="24"/>
      <c r="L104" s="24"/>
      <c r="M104" s="20"/>
      <c r="N104" s="60"/>
      <c r="O104" s="1"/>
      <c r="P104" s="24"/>
      <c r="Q104" s="24"/>
      <c r="R104" s="20"/>
      <c r="S104" s="60"/>
      <c r="T104" s="1"/>
      <c r="U104" s="24"/>
      <c r="V104" s="24"/>
      <c r="W104" s="20"/>
      <c r="X104" s="60"/>
      <c r="Y104" s="1"/>
      <c r="Z104" s="24"/>
      <c r="AA104" s="24"/>
      <c r="AB104" s="20"/>
      <c r="AC104" s="60"/>
      <c r="AD104" s="1"/>
      <c r="AE104" s="24"/>
      <c r="AF104" s="24"/>
      <c r="AG104" s="20"/>
      <c r="AH104" s="60"/>
      <c r="AJ104" s="24"/>
      <c r="AK104" s="24"/>
      <c r="AL104" s="20"/>
      <c r="AM104" s="60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5">
      <c r="A105" s="1"/>
      <c r="B105" s="20"/>
      <c r="C105" s="1"/>
      <c r="E105" s="1"/>
      <c r="G105" s="1"/>
      <c r="H105" s="24"/>
      <c r="I105" s="60"/>
      <c r="J105" s="1"/>
      <c r="K105" s="24"/>
      <c r="L105" s="24"/>
      <c r="M105" s="20"/>
      <c r="N105" s="60"/>
      <c r="O105" s="1"/>
      <c r="P105" s="24"/>
      <c r="Q105" s="24"/>
      <c r="R105" s="20"/>
      <c r="S105" s="60"/>
      <c r="T105" s="1"/>
      <c r="U105" s="24"/>
      <c r="V105" s="24"/>
      <c r="W105" s="20"/>
      <c r="X105" s="60"/>
      <c r="Y105" s="1"/>
      <c r="Z105" s="24"/>
      <c r="AA105" s="24"/>
      <c r="AB105" s="20"/>
      <c r="AC105" s="60"/>
      <c r="AD105" s="1"/>
      <c r="AE105" s="24"/>
      <c r="AF105" s="24"/>
      <c r="AG105" s="20"/>
      <c r="AH105" s="60"/>
      <c r="AJ105" s="24"/>
      <c r="AK105" s="24"/>
      <c r="AL105" s="20"/>
      <c r="AM105" s="60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5">
      <c r="A106" s="1"/>
      <c r="B106" s="20"/>
      <c r="C106" s="1"/>
      <c r="E106" s="1"/>
      <c r="G106" s="1"/>
      <c r="H106" s="24"/>
      <c r="I106" s="60"/>
      <c r="J106" s="1"/>
      <c r="K106" s="24"/>
      <c r="L106" s="24"/>
      <c r="M106" s="20"/>
      <c r="N106" s="60"/>
      <c r="O106" s="1"/>
      <c r="P106" s="24"/>
      <c r="Q106" s="24"/>
      <c r="R106" s="20"/>
      <c r="S106" s="60"/>
      <c r="T106" s="1"/>
      <c r="U106" s="24"/>
      <c r="V106" s="24"/>
      <c r="W106" s="20"/>
      <c r="X106" s="60"/>
      <c r="Y106" s="1"/>
      <c r="Z106" s="24"/>
      <c r="AA106" s="24"/>
      <c r="AB106" s="20"/>
      <c r="AC106" s="60"/>
      <c r="AD106" s="1"/>
      <c r="AE106" s="24"/>
      <c r="AF106" s="24"/>
      <c r="AG106" s="20"/>
      <c r="AH106" s="60"/>
      <c r="AJ106" s="24"/>
      <c r="AK106" s="24"/>
      <c r="AL106" s="20"/>
      <c r="AM106" s="60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5">
      <c r="A107" s="1"/>
      <c r="B107" s="20"/>
      <c r="C107" s="1"/>
      <c r="E107" s="1"/>
      <c r="G107" s="1"/>
      <c r="H107" s="24"/>
      <c r="I107" s="60"/>
      <c r="J107" s="1"/>
      <c r="K107" s="24"/>
      <c r="L107" s="24"/>
      <c r="M107" s="20"/>
      <c r="N107" s="60"/>
      <c r="O107" s="1"/>
      <c r="P107" s="24"/>
      <c r="Q107" s="24"/>
      <c r="R107" s="20"/>
      <c r="S107" s="60"/>
      <c r="T107" s="1"/>
      <c r="U107" s="24"/>
      <c r="V107" s="24"/>
      <c r="W107" s="20"/>
      <c r="X107" s="60"/>
      <c r="Y107" s="1"/>
      <c r="Z107" s="24"/>
      <c r="AA107" s="24"/>
      <c r="AB107" s="20"/>
      <c r="AC107" s="60"/>
      <c r="AD107" s="1"/>
      <c r="AE107" s="24"/>
      <c r="AF107" s="24"/>
      <c r="AG107" s="20"/>
      <c r="AH107" s="60"/>
      <c r="AJ107" s="24"/>
      <c r="AK107" s="24"/>
      <c r="AL107" s="20"/>
      <c r="AM107" s="60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x14ac:dyDescent="0.25">
      <c r="A108" s="1"/>
      <c r="B108" s="20"/>
      <c r="C108" s="1"/>
      <c r="E108" s="1"/>
      <c r="G108" s="1"/>
      <c r="H108" s="24"/>
      <c r="I108" s="60"/>
      <c r="J108" s="1"/>
      <c r="K108" s="24"/>
      <c r="L108" s="24"/>
      <c r="M108" s="20"/>
      <c r="N108" s="60"/>
      <c r="O108" s="1"/>
      <c r="P108" s="24"/>
      <c r="Q108" s="24"/>
      <c r="R108" s="20"/>
      <c r="S108" s="60"/>
      <c r="T108" s="1"/>
      <c r="U108" s="24"/>
      <c r="V108" s="24"/>
      <c r="W108" s="20"/>
      <c r="X108" s="60"/>
      <c r="Y108" s="1"/>
      <c r="Z108" s="24"/>
      <c r="AA108" s="24"/>
      <c r="AB108" s="20"/>
      <c r="AC108" s="60"/>
      <c r="AD108" s="1"/>
      <c r="AE108" s="24"/>
      <c r="AF108" s="24"/>
      <c r="AG108" s="20"/>
      <c r="AH108" s="60"/>
      <c r="AJ108" s="24"/>
      <c r="AK108" s="24"/>
      <c r="AL108" s="20"/>
      <c r="AM108" s="60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x14ac:dyDescent="0.25">
      <c r="A109" s="1"/>
      <c r="B109" s="20"/>
      <c r="C109" s="1"/>
      <c r="E109" s="1"/>
      <c r="G109" s="1"/>
      <c r="H109" s="24"/>
      <c r="I109" s="60"/>
      <c r="J109" s="1"/>
      <c r="K109" s="24"/>
      <c r="L109" s="24"/>
      <c r="M109" s="20"/>
      <c r="N109" s="60"/>
      <c r="O109" s="1"/>
      <c r="P109" s="24"/>
      <c r="Q109" s="24"/>
      <c r="R109" s="20"/>
      <c r="S109" s="60"/>
      <c r="T109" s="1"/>
      <c r="U109" s="24"/>
      <c r="V109" s="24"/>
      <c r="W109" s="20"/>
      <c r="X109" s="60"/>
      <c r="Y109" s="1"/>
      <c r="Z109" s="24"/>
      <c r="AA109" s="24"/>
      <c r="AB109" s="20"/>
      <c r="AC109" s="60"/>
      <c r="AD109" s="1"/>
      <c r="AE109" s="24"/>
      <c r="AF109" s="24"/>
      <c r="AG109" s="20"/>
      <c r="AH109" s="60"/>
      <c r="AJ109" s="24"/>
      <c r="AK109" s="24"/>
      <c r="AL109" s="20"/>
      <c r="AM109" s="60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x14ac:dyDescent="0.25">
      <c r="A110" s="1"/>
      <c r="B110" s="20"/>
      <c r="C110" s="1"/>
      <c r="E110" s="1"/>
      <c r="G110" s="1"/>
      <c r="H110" s="24"/>
      <c r="I110" s="60"/>
      <c r="J110" s="1"/>
      <c r="K110" s="24"/>
      <c r="L110" s="24"/>
      <c r="M110" s="20"/>
      <c r="N110" s="60"/>
      <c r="O110" s="1"/>
      <c r="P110" s="24"/>
      <c r="Q110" s="24"/>
      <c r="R110" s="20"/>
      <c r="S110" s="60"/>
      <c r="T110" s="1"/>
      <c r="U110" s="24"/>
      <c r="V110" s="24"/>
      <c r="W110" s="20"/>
      <c r="X110" s="60"/>
      <c r="Y110" s="1"/>
      <c r="Z110" s="24"/>
      <c r="AA110" s="24"/>
      <c r="AB110" s="20"/>
      <c r="AC110" s="60"/>
      <c r="AD110" s="1"/>
      <c r="AE110" s="24"/>
      <c r="AF110" s="24"/>
      <c r="AG110" s="20"/>
      <c r="AH110" s="60"/>
      <c r="AJ110" s="24"/>
      <c r="AK110" s="24"/>
      <c r="AL110" s="20"/>
      <c r="AM110" s="60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x14ac:dyDescent="0.25">
      <c r="A111" s="1"/>
      <c r="B111" s="20"/>
      <c r="C111" s="1"/>
      <c r="E111" s="1"/>
      <c r="G111" s="1"/>
      <c r="H111" s="24"/>
      <c r="I111" s="60"/>
      <c r="J111" s="1"/>
      <c r="K111" s="24"/>
      <c r="L111" s="24"/>
      <c r="M111" s="20"/>
      <c r="N111" s="60"/>
      <c r="O111" s="1"/>
      <c r="P111" s="24"/>
      <c r="Q111" s="24"/>
      <c r="R111" s="20"/>
      <c r="S111" s="60"/>
      <c r="T111" s="1"/>
      <c r="U111" s="24"/>
      <c r="V111" s="24"/>
      <c r="W111" s="20"/>
      <c r="X111" s="60"/>
      <c r="Y111" s="1"/>
      <c r="Z111" s="24"/>
      <c r="AA111" s="24"/>
      <c r="AB111" s="20"/>
      <c r="AC111" s="60"/>
      <c r="AD111" s="1"/>
      <c r="AE111" s="24"/>
      <c r="AF111" s="24"/>
      <c r="AG111" s="20"/>
      <c r="AH111" s="60"/>
      <c r="AJ111" s="24"/>
      <c r="AK111" s="24"/>
      <c r="AL111" s="20"/>
      <c r="AM111" s="60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x14ac:dyDescent="0.25">
      <c r="A112" s="1"/>
      <c r="B112" s="20"/>
      <c r="C112" s="1"/>
      <c r="E112" s="1"/>
      <c r="G112" s="1"/>
      <c r="H112" s="24"/>
      <c r="I112" s="60"/>
      <c r="J112" s="1"/>
      <c r="K112" s="24"/>
      <c r="L112" s="24"/>
      <c r="M112" s="20"/>
      <c r="N112" s="60"/>
      <c r="O112" s="1"/>
      <c r="P112" s="24"/>
      <c r="Q112" s="24"/>
      <c r="R112" s="20"/>
      <c r="S112" s="60"/>
      <c r="T112" s="1"/>
      <c r="U112" s="24"/>
      <c r="V112" s="24"/>
      <c r="W112" s="20"/>
      <c r="X112" s="60"/>
      <c r="Y112" s="1"/>
      <c r="Z112" s="24"/>
      <c r="AA112" s="24"/>
      <c r="AB112" s="20"/>
      <c r="AC112" s="60"/>
      <c r="AD112" s="1"/>
      <c r="AE112" s="24"/>
      <c r="AF112" s="24"/>
      <c r="AG112" s="20"/>
      <c r="AH112" s="60"/>
      <c r="AJ112" s="24"/>
      <c r="AK112" s="24"/>
      <c r="AL112" s="20"/>
      <c r="AM112" s="60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x14ac:dyDescent="0.25">
      <c r="A113" s="1"/>
      <c r="B113" s="20"/>
      <c r="C113" s="1"/>
      <c r="E113" s="1"/>
      <c r="G113" s="1"/>
      <c r="H113" s="24"/>
      <c r="I113" s="60"/>
      <c r="J113" s="1"/>
      <c r="K113" s="24"/>
      <c r="L113" s="24"/>
      <c r="M113" s="20"/>
      <c r="N113" s="60"/>
      <c r="O113" s="1"/>
      <c r="P113" s="24"/>
      <c r="Q113" s="24"/>
      <c r="R113" s="20"/>
      <c r="S113" s="60"/>
      <c r="T113" s="1"/>
      <c r="U113" s="24"/>
      <c r="V113" s="24"/>
      <c r="W113" s="20"/>
      <c r="X113" s="60"/>
      <c r="Y113" s="1"/>
      <c r="Z113" s="24"/>
      <c r="AA113" s="24"/>
      <c r="AB113" s="20"/>
      <c r="AC113" s="60"/>
      <c r="AD113" s="1"/>
      <c r="AE113" s="24"/>
      <c r="AF113" s="24"/>
      <c r="AG113" s="20"/>
      <c r="AH113" s="60"/>
      <c r="AJ113" s="24"/>
      <c r="AK113" s="24"/>
      <c r="AL113" s="20"/>
      <c r="AM113" s="60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x14ac:dyDescent="0.25">
      <c r="A114" s="1"/>
      <c r="B114" s="20"/>
      <c r="C114" s="1"/>
      <c r="E114" s="1"/>
      <c r="G114" s="1"/>
      <c r="H114" s="24"/>
      <c r="I114" s="60"/>
      <c r="J114" s="1"/>
      <c r="K114" s="24"/>
      <c r="L114" s="24"/>
      <c r="M114" s="20"/>
      <c r="N114" s="60"/>
      <c r="O114" s="1"/>
      <c r="P114" s="24"/>
      <c r="Q114" s="24"/>
      <c r="R114" s="20"/>
      <c r="S114" s="60"/>
      <c r="T114" s="1"/>
      <c r="U114" s="24"/>
      <c r="V114" s="24"/>
      <c r="W114" s="20"/>
      <c r="X114" s="60"/>
      <c r="Y114" s="1"/>
      <c r="Z114" s="24"/>
      <c r="AA114" s="24"/>
      <c r="AB114" s="20"/>
      <c r="AC114" s="60"/>
      <c r="AD114" s="1"/>
      <c r="AE114" s="24"/>
      <c r="AF114" s="24"/>
      <c r="AG114" s="20"/>
      <c r="AH114" s="60"/>
      <c r="AJ114" s="24"/>
      <c r="AK114" s="24"/>
      <c r="AL114" s="20"/>
      <c r="AM114" s="60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x14ac:dyDescent="0.25">
      <c r="A115" s="1"/>
      <c r="B115" s="20"/>
      <c r="C115" s="1"/>
      <c r="E115" s="1"/>
      <c r="G115" s="1"/>
      <c r="H115" s="24"/>
      <c r="I115" s="60"/>
      <c r="J115" s="1"/>
      <c r="K115" s="24"/>
      <c r="L115" s="24"/>
      <c r="M115" s="20"/>
      <c r="N115" s="60"/>
      <c r="O115" s="1"/>
      <c r="P115" s="24"/>
      <c r="Q115" s="24"/>
      <c r="R115" s="20"/>
      <c r="S115" s="60"/>
      <c r="T115" s="1"/>
      <c r="U115" s="24"/>
      <c r="V115" s="24"/>
      <c r="W115" s="20"/>
      <c r="X115" s="60"/>
      <c r="Y115" s="1"/>
      <c r="Z115" s="24"/>
      <c r="AA115" s="24"/>
      <c r="AB115" s="20"/>
      <c r="AC115" s="60"/>
      <c r="AD115" s="1"/>
      <c r="AE115" s="24"/>
      <c r="AF115" s="24"/>
      <c r="AG115" s="20"/>
      <c r="AH115" s="60"/>
      <c r="AJ115" s="24"/>
      <c r="AK115" s="24"/>
      <c r="AL115" s="20"/>
      <c r="AM115" s="60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x14ac:dyDescent="0.25">
      <c r="A116" s="1"/>
      <c r="B116" s="20"/>
      <c r="C116" s="1"/>
      <c r="E116" s="1"/>
      <c r="G116" s="1"/>
      <c r="H116" s="24"/>
      <c r="I116" s="60"/>
      <c r="J116" s="1"/>
      <c r="K116" s="24"/>
      <c r="L116" s="24"/>
      <c r="M116" s="20"/>
      <c r="N116" s="60"/>
      <c r="O116" s="1"/>
      <c r="P116" s="24"/>
      <c r="Q116" s="24"/>
      <c r="R116" s="20"/>
      <c r="S116" s="60"/>
      <c r="T116" s="1"/>
      <c r="U116" s="24"/>
      <c r="V116" s="24"/>
      <c r="W116" s="20"/>
      <c r="X116" s="60"/>
      <c r="Y116" s="1"/>
      <c r="Z116" s="24"/>
      <c r="AA116" s="24"/>
      <c r="AB116" s="20"/>
      <c r="AC116" s="60"/>
      <c r="AD116" s="1"/>
      <c r="AE116" s="24"/>
      <c r="AF116" s="24"/>
      <c r="AG116" s="20"/>
      <c r="AH116" s="60"/>
      <c r="AJ116" s="24"/>
      <c r="AK116" s="24"/>
      <c r="AL116" s="20"/>
      <c r="AM116" s="60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x14ac:dyDescent="0.25">
      <c r="A117" s="1"/>
      <c r="B117" s="20"/>
      <c r="C117" s="1"/>
      <c r="E117" s="1"/>
      <c r="G117" s="1"/>
      <c r="H117" s="24"/>
      <c r="I117" s="60"/>
      <c r="J117" s="1"/>
      <c r="K117" s="24"/>
      <c r="L117" s="24"/>
      <c r="M117" s="20"/>
      <c r="N117" s="60"/>
      <c r="O117" s="1"/>
      <c r="P117" s="24"/>
      <c r="Q117" s="24"/>
      <c r="R117" s="20"/>
      <c r="S117" s="60"/>
      <c r="T117" s="1"/>
      <c r="U117" s="24"/>
      <c r="V117" s="24"/>
      <c r="W117" s="20"/>
      <c r="X117" s="60"/>
      <c r="Y117" s="1"/>
      <c r="Z117" s="24"/>
      <c r="AA117" s="24"/>
      <c r="AB117" s="20"/>
      <c r="AC117" s="60"/>
      <c r="AD117" s="1"/>
      <c r="AE117" s="24"/>
      <c r="AF117" s="24"/>
      <c r="AG117" s="20"/>
      <c r="AH117" s="60"/>
      <c r="AJ117" s="24"/>
      <c r="AK117" s="24"/>
      <c r="AL117" s="20"/>
      <c r="AM117" s="60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x14ac:dyDescent="0.25">
      <c r="A118" s="1"/>
      <c r="B118" s="20"/>
      <c r="C118" s="1"/>
      <c r="E118" s="1"/>
      <c r="G118" s="1"/>
      <c r="H118" s="24"/>
      <c r="I118" s="60"/>
      <c r="J118" s="1"/>
      <c r="K118" s="24"/>
      <c r="L118" s="24"/>
      <c r="M118" s="20"/>
      <c r="N118" s="60"/>
      <c r="O118" s="1"/>
      <c r="P118" s="24"/>
      <c r="Q118" s="24"/>
      <c r="R118" s="20"/>
      <c r="S118" s="60"/>
      <c r="T118" s="1"/>
      <c r="U118" s="24"/>
      <c r="V118" s="24"/>
      <c r="W118" s="20"/>
      <c r="X118" s="60"/>
      <c r="Y118" s="1"/>
      <c r="Z118" s="24"/>
      <c r="AA118" s="24"/>
      <c r="AB118" s="20"/>
      <c r="AC118" s="60"/>
      <c r="AD118" s="1"/>
      <c r="AE118" s="24"/>
      <c r="AF118" s="24"/>
      <c r="AG118" s="20"/>
      <c r="AH118" s="60"/>
      <c r="AJ118" s="24"/>
      <c r="AK118" s="24"/>
      <c r="AL118" s="20"/>
      <c r="AM118" s="60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x14ac:dyDescent="0.25">
      <c r="A119" s="1"/>
      <c r="B119" s="20"/>
      <c r="C119" s="1"/>
      <c r="E119" s="1"/>
      <c r="G119" s="1"/>
      <c r="H119" s="24"/>
      <c r="I119" s="60"/>
      <c r="J119" s="1"/>
      <c r="K119" s="24"/>
      <c r="L119" s="24"/>
      <c r="M119" s="20"/>
      <c r="N119" s="60"/>
      <c r="O119" s="1"/>
      <c r="P119" s="24"/>
      <c r="Q119" s="24"/>
      <c r="R119" s="20"/>
      <c r="S119" s="60"/>
      <c r="T119" s="1"/>
      <c r="U119" s="24"/>
      <c r="V119" s="24"/>
      <c r="W119" s="20"/>
      <c r="X119" s="60"/>
      <c r="Y119" s="1"/>
      <c r="Z119" s="24"/>
      <c r="AA119" s="24"/>
      <c r="AB119" s="20"/>
      <c r="AC119" s="60"/>
      <c r="AD119" s="1"/>
      <c r="AE119" s="24"/>
      <c r="AF119" s="24"/>
      <c r="AG119" s="20"/>
      <c r="AH119" s="60"/>
      <c r="AJ119" s="24"/>
      <c r="AK119" s="24"/>
      <c r="AL119" s="20"/>
      <c r="AM119" s="60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x14ac:dyDescent="0.25">
      <c r="A120" s="1"/>
      <c r="B120" s="20"/>
      <c r="C120" s="1"/>
      <c r="E120" s="1"/>
      <c r="G120" s="1"/>
      <c r="H120" s="24"/>
      <c r="I120" s="60"/>
      <c r="J120" s="1"/>
      <c r="K120" s="24"/>
      <c r="L120" s="24"/>
      <c r="M120" s="20"/>
      <c r="N120" s="60"/>
      <c r="O120" s="1"/>
      <c r="P120" s="24"/>
      <c r="Q120" s="24"/>
      <c r="R120" s="20"/>
      <c r="S120" s="60"/>
      <c r="T120" s="1"/>
      <c r="U120" s="24"/>
      <c r="V120" s="24"/>
      <c r="W120" s="20"/>
      <c r="X120" s="60"/>
      <c r="Y120" s="1"/>
      <c r="Z120" s="24"/>
      <c r="AA120" s="24"/>
      <c r="AB120" s="20"/>
      <c r="AC120" s="60"/>
      <c r="AD120" s="1"/>
      <c r="AE120" s="24"/>
      <c r="AF120" s="24"/>
      <c r="AG120" s="20"/>
      <c r="AH120" s="60"/>
      <c r="AJ120" s="24"/>
      <c r="AK120" s="24"/>
      <c r="AL120" s="20"/>
      <c r="AM120" s="60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x14ac:dyDescent="0.25">
      <c r="A121" s="1"/>
      <c r="B121" s="20"/>
      <c r="C121" s="1"/>
      <c r="E121" s="1"/>
      <c r="G121" s="1"/>
      <c r="H121" s="24"/>
      <c r="I121" s="60"/>
      <c r="J121" s="1"/>
      <c r="K121" s="24"/>
      <c r="L121" s="24"/>
      <c r="M121" s="20"/>
      <c r="N121" s="60"/>
      <c r="O121" s="1"/>
      <c r="P121" s="24"/>
      <c r="Q121" s="24"/>
      <c r="R121" s="20"/>
      <c r="S121" s="60"/>
      <c r="T121" s="1"/>
      <c r="U121" s="24"/>
      <c r="V121" s="24"/>
      <c r="W121" s="20"/>
      <c r="X121" s="60"/>
      <c r="Y121" s="1"/>
      <c r="Z121" s="24"/>
      <c r="AA121" s="24"/>
      <c r="AB121" s="20"/>
      <c r="AC121" s="60"/>
      <c r="AD121" s="1"/>
      <c r="AE121" s="24"/>
      <c r="AF121" s="24"/>
      <c r="AG121" s="20"/>
      <c r="AH121" s="60"/>
      <c r="AJ121" s="24"/>
      <c r="AK121" s="24"/>
      <c r="AL121" s="20"/>
      <c r="AM121" s="60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x14ac:dyDescent="0.25">
      <c r="A122" s="1"/>
      <c r="B122" s="20"/>
      <c r="C122" s="1"/>
      <c r="E122" s="1"/>
      <c r="G122" s="1"/>
      <c r="H122" s="24"/>
      <c r="I122" s="60"/>
      <c r="J122" s="1"/>
      <c r="K122" s="24"/>
      <c r="L122" s="24"/>
      <c r="M122" s="20"/>
      <c r="N122" s="60"/>
      <c r="O122" s="1"/>
      <c r="P122" s="24"/>
      <c r="Q122" s="24"/>
      <c r="R122" s="20"/>
      <c r="S122" s="60"/>
      <c r="T122" s="1"/>
      <c r="U122" s="24"/>
      <c r="V122" s="24"/>
      <c r="W122" s="20"/>
      <c r="X122" s="60"/>
      <c r="Y122" s="1"/>
      <c r="Z122" s="24"/>
      <c r="AA122" s="24"/>
      <c r="AB122" s="20"/>
      <c r="AC122" s="60"/>
      <c r="AD122" s="1"/>
      <c r="AE122" s="24"/>
      <c r="AF122" s="24"/>
      <c r="AG122" s="20"/>
      <c r="AH122" s="60"/>
      <c r="AJ122" s="24"/>
      <c r="AK122" s="24"/>
      <c r="AL122" s="20"/>
      <c r="AM122" s="60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x14ac:dyDescent="0.25">
      <c r="A123" s="1"/>
      <c r="B123" s="20"/>
      <c r="C123" s="1"/>
      <c r="E123" s="1"/>
      <c r="G123" s="1"/>
      <c r="H123" s="24"/>
      <c r="I123" s="60"/>
      <c r="J123" s="1"/>
      <c r="K123" s="24"/>
      <c r="L123" s="24"/>
      <c r="M123" s="20"/>
      <c r="N123" s="60"/>
      <c r="O123" s="1"/>
      <c r="P123" s="24"/>
      <c r="Q123" s="24"/>
      <c r="R123" s="20"/>
      <c r="S123" s="60"/>
      <c r="T123" s="1"/>
      <c r="U123" s="24"/>
      <c r="V123" s="24"/>
      <c r="W123" s="20"/>
      <c r="X123" s="60"/>
      <c r="Y123" s="1"/>
      <c r="Z123" s="24"/>
      <c r="AA123" s="24"/>
      <c r="AB123" s="20"/>
      <c r="AC123" s="60"/>
      <c r="AD123" s="1"/>
      <c r="AE123" s="24"/>
      <c r="AF123" s="24"/>
      <c r="AG123" s="20"/>
      <c r="AH123" s="60"/>
      <c r="AJ123" s="24"/>
      <c r="AK123" s="24"/>
      <c r="AL123" s="20"/>
      <c r="AM123" s="60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x14ac:dyDescent="0.25">
      <c r="A124" s="1"/>
      <c r="B124" s="20"/>
      <c r="C124" s="1"/>
      <c r="E124" s="1"/>
      <c r="G124" s="1"/>
      <c r="H124" s="24"/>
      <c r="I124" s="60"/>
      <c r="J124" s="1"/>
      <c r="K124" s="24"/>
      <c r="L124" s="24"/>
      <c r="M124" s="20"/>
      <c r="N124" s="60"/>
      <c r="O124" s="1"/>
      <c r="P124" s="24"/>
      <c r="Q124" s="24"/>
      <c r="R124" s="20"/>
      <c r="S124" s="60"/>
      <c r="T124" s="1"/>
      <c r="U124" s="24"/>
      <c r="V124" s="24"/>
      <c r="W124" s="20"/>
      <c r="X124" s="60"/>
      <c r="Y124" s="1"/>
      <c r="Z124" s="24"/>
      <c r="AA124" s="24"/>
      <c r="AB124" s="20"/>
      <c r="AC124" s="60"/>
      <c r="AD124" s="1"/>
      <c r="AE124" s="24"/>
      <c r="AF124" s="24"/>
      <c r="AG124" s="20"/>
      <c r="AH124" s="60"/>
      <c r="AJ124" s="24"/>
      <c r="AK124" s="24"/>
      <c r="AL124" s="20"/>
      <c r="AM124" s="60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x14ac:dyDescent="0.25">
      <c r="A125" s="1"/>
      <c r="B125" s="20"/>
      <c r="C125" s="1"/>
      <c r="E125" s="1"/>
      <c r="G125" s="1"/>
      <c r="H125" s="24"/>
      <c r="I125" s="60"/>
      <c r="J125" s="1"/>
      <c r="K125" s="24"/>
      <c r="L125" s="24"/>
      <c r="M125" s="20"/>
      <c r="N125" s="60"/>
      <c r="O125" s="1"/>
      <c r="P125" s="24"/>
      <c r="Q125" s="24"/>
      <c r="R125" s="20"/>
      <c r="S125" s="60"/>
      <c r="T125" s="1"/>
      <c r="U125" s="24"/>
      <c r="V125" s="24"/>
      <c r="W125" s="20"/>
      <c r="X125" s="60"/>
      <c r="Y125" s="1"/>
      <c r="Z125" s="24"/>
      <c r="AA125" s="24"/>
      <c r="AB125" s="20"/>
      <c r="AC125" s="60"/>
      <c r="AD125" s="1"/>
      <c r="AE125" s="24"/>
      <c r="AF125" s="24"/>
      <c r="AG125" s="20"/>
      <c r="AH125" s="60"/>
      <c r="AJ125" s="24"/>
      <c r="AK125" s="24"/>
      <c r="AL125" s="20"/>
      <c r="AM125" s="60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x14ac:dyDescent="0.25">
      <c r="A126" s="1"/>
      <c r="B126" s="20"/>
      <c r="C126" s="1"/>
      <c r="E126" s="1"/>
      <c r="G126" s="1"/>
      <c r="H126" s="24"/>
      <c r="I126" s="60"/>
      <c r="J126" s="1"/>
      <c r="K126" s="24"/>
      <c r="L126" s="24"/>
      <c r="M126" s="20"/>
      <c r="N126" s="60"/>
      <c r="O126" s="1"/>
      <c r="P126" s="24"/>
      <c r="Q126" s="24"/>
      <c r="R126" s="20"/>
      <c r="S126" s="60"/>
      <c r="T126" s="1"/>
      <c r="U126" s="24"/>
      <c r="V126" s="24"/>
      <c r="W126" s="20"/>
      <c r="X126" s="60"/>
      <c r="Y126" s="1"/>
      <c r="Z126" s="24"/>
      <c r="AA126" s="24"/>
      <c r="AB126" s="20"/>
      <c r="AC126" s="60"/>
      <c r="AD126" s="1"/>
      <c r="AE126" s="24"/>
      <c r="AF126" s="24"/>
      <c r="AG126" s="20"/>
      <c r="AH126" s="60"/>
      <c r="AJ126" s="24"/>
      <c r="AK126" s="24"/>
      <c r="AL126" s="20"/>
      <c r="AM126" s="60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x14ac:dyDescent="0.25">
      <c r="A127" s="1"/>
      <c r="B127" s="20"/>
      <c r="C127" s="1"/>
      <c r="E127" s="1"/>
      <c r="G127" s="1"/>
      <c r="H127" s="24"/>
      <c r="I127" s="60"/>
      <c r="J127" s="1"/>
      <c r="K127" s="24"/>
      <c r="L127" s="24"/>
      <c r="M127" s="20"/>
      <c r="N127" s="60"/>
      <c r="O127" s="1"/>
      <c r="P127" s="24"/>
      <c r="Q127" s="24"/>
      <c r="R127" s="20"/>
      <c r="S127" s="60"/>
      <c r="T127" s="1"/>
      <c r="U127" s="24"/>
      <c r="V127" s="24"/>
      <c r="W127" s="20"/>
      <c r="X127" s="60"/>
      <c r="Y127" s="1"/>
      <c r="Z127" s="24"/>
      <c r="AA127" s="24"/>
      <c r="AB127" s="20"/>
      <c r="AC127" s="60"/>
      <c r="AD127" s="1"/>
      <c r="AE127" s="24"/>
      <c r="AF127" s="24"/>
      <c r="AG127" s="20"/>
      <c r="AH127" s="60"/>
      <c r="AJ127" s="24"/>
      <c r="AK127" s="24"/>
      <c r="AL127" s="20"/>
      <c r="AM127" s="60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x14ac:dyDescent="0.25">
      <c r="A128" s="1"/>
      <c r="B128" s="20"/>
      <c r="C128" s="1"/>
      <c r="E128" s="1"/>
      <c r="G128" s="1"/>
      <c r="H128" s="24"/>
      <c r="I128" s="60"/>
      <c r="J128" s="1"/>
      <c r="K128" s="24"/>
      <c r="L128" s="24"/>
      <c r="M128" s="20"/>
      <c r="N128" s="60"/>
      <c r="O128" s="1"/>
      <c r="P128" s="24"/>
      <c r="Q128" s="24"/>
      <c r="R128" s="20"/>
      <c r="S128" s="60"/>
      <c r="T128" s="1"/>
      <c r="U128" s="24"/>
      <c r="V128" s="24"/>
      <c r="W128" s="20"/>
      <c r="X128" s="60"/>
      <c r="Y128" s="1"/>
      <c r="Z128" s="24"/>
      <c r="AA128" s="24"/>
      <c r="AB128" s="20"/>
      <c r="AC128" s="60"/>
      <c r="AD128" s="1"/>
      <c r="AE128" s="24"/>
      <c r="AF128" s="24"/>
      <c r="AG128" s="20"/>
      <c r="AH128" s="60"/>
      <c r="AJ128" s="24"/>
      <c r="AK128" s="24"/>
      <c r="AL128" s="20"/>
      <c r="AM128" s="60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x14ac:dyDescent="0.25">
      <c r="A129" s="1"/>
      <c r="B129" s="20"/>
      <c r="C129" s="1"/>
      <c r="E129" s="1"/>
      <c r="G129" s="1"/>
      <c r="H129" s="24"/>
      <c r="I129" s="60"/>
      <c r="J129" s="1"/>
      <c r="K129" s="24"/>
      <c r="L129" s="24"/>
      <c r="M129" s="20"/>
      <c r="N129" s="60"/>
      <c r="O129" s="1"/>
      <c r="P129" s="24"/>
      <c r="Q129" s="24"/>
      <c r="R129" s="20"/>
      <c r="S129" s="60"/>
      <c r="T129" s="1"/>
      <c r="U129" s="24"/>
      <c r="V129" s="24"/>
      <c r="W129" s="20"/>
      <c r="X129" s="60"/>
      <c r="Y129" s="1"/>
      <c r="Z129" s="24"/>
      <c r="AA129" s="24"/>
      <c r="AB129" s="20"/>
      <c r="AC129" s="60"/>
      <c r="AD129" s="1"/>
      <c r="AE129" s="24"/>
      <c r="AF129" s="24"/>
      <c r="AG129" s="20"/>
      <c r="AH129" s="60"/>
      <c r="AJ129" s="24"/>
      <c r="AK129" s="24"/>
      <c r="AL129" s="20"/>
      <c r="AM129" s="60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x14ac:dyDescent="0.25">
      <c r="A130" s="1"/>
      <c r="B130" s="20"/>
      <c r="C130" s="1"/>
      <c r="E130" s="1"/>
      <c r="G130" s="1"/>
      <c r="H130" s="24"/>
      <c r="I130" s="60"/>
      <c r="J130" s="1"/>
      <c r="K130" s="24"/>
      <c r="L130" s="24"/>
      <c r="M130" s="20"/>
      <c r="N130" s="60"/>
      <c r="O130" s="1"/>
      <c r="P130" s="24"/>
      <c r="Q130" s="24"/>
      <c r="R130" s="20"/>
      <c r="S130" s="60"/>
      <c r="T130" s="1"/>
      <c r="U130" s="24"/>
      <c r="V130" s="24"/>
      <c r="W130" s="20"/>
      <c r="X130" s="60"/>
      <c r="Y130" s="1"/>
      <c r="Z130" s="24"/>
      <c r="AA130" s="24"/>
      <c r="AB130" s="20"/>
      <c r="AC130" s="60"/>
      <c r="AD130" s="1"/>
      <c r="AE130" s="24"/>
      <c r="AF130" s="24"/>
      <c r="AG130" s="20"/>
      <c r="AH130" s="60"/>
      <c r="AJ130" s="24"/>
      <c r="AK130" s="24"/>
      <c r="AL130" s="20"/>
      <c r="AM130" s="60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x14ac:dyDescent="0.25">
      <c r="A131" s="1"/>
      <c r="B131" s="20"/>
      <c r="C131" s="1"/>
      <c r="E131" s="1"/>
      <c r="G131" s="1"/>
      <c r="H131" s="24"/>
      <c r="I131" s="60"/>
      <c r="J131" s="1"/>
      <c r="K131" s="24"/>
      <c r="L131" s="24"/>
      <c r="M131" s="20"/>
      <c r="N131" s="60"/>
      <c r="O131" s="1"/>
      <c r="P131" s="24"/>
      <c r="Q131" s="24"/>
      <c r="R131" s="20"/>
      <c r="S131" s="60"/>
      <c r="T131" s="1"/>
      <c r="U131" s="24"/>
      <c r="V131" s="24"/>
      <c r="W131" s="20"/>
      <c r="X131" s="60"/>
      <c r="Y131" s="1"/>
      <c r="Z131" s="24"/>
      <c r="AA131" s="24"/>
      <c r="AB131" s="20"/>
      <c r="AC131" s="60"/>
      <c r="AD131" s="1"/>
      <c r="AE131" s="24"/>
      <c r="AF131" s="24"/>
      <c r="AG131" s="20"/>
      <c r="AH131" s="60"/>
      <c r="AJ131" s="24"/>
      <c r="AK131" s="24"/>
      <c r="AL131" s="20"/>
      <c r="AM131" s="60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x14ac:dyDescent="0.25">
      <c r="A132" s="1"/>
      <c r="B132" s="20"/>
      <c r="C132" s="1"/>
      <c r="E132" s="1"/>
      <c r="G132" s="1"/>
      <c r="H132" s="24"/>
      <c r="I132" s="60"/>
      <c r="J132" s="1"/>
      <c r="K132" s="24"/>
      <c r="L132" s="24"/>
      <c r="M132" s="20"/>
      <c r="N132" s="60"/>
      <c r="O132" s="1"/>
      <c r="P132" s="24"/>
      <c r="Q132" s="24"/>
      <c r="R132" s="20"/>
      <c r="S132" s="60"/>
      <c r="T132" s="1"/>
      <c r="U132" s="24"/>
      <c r="V132" s="24"/>
      <c r="W132" s="20"/>
      <c r="X132" s="60"/>
      <c r="Y132" s="1"/>
      <c r="Z132" s="24"/>
      <c r="AA132" s="24"/>
      <c r="AB132" s="20"/>
      <c r="AC132" s="60"/>
      <c r="AD132" s="1"/>
      <c r="AE132" s="24"/>
      <c r="AF132" s="24"/>
      <c r="AG132" s="20"/>
      <c r="AH132" s="60"/>
      <c r="AJ132" s="24"/>
      <c r="AK132" s="24"/>
      <c r="AL132" s="20"/>
      <c r="AM132" s="60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x14ac:dyDescent="0.25">
      <c r="A133" s="1"/>
      <c r="B133" s="20"/>
      <c r="C133" s="1"/>
      <c r="E133" s="1"/>
      <c r="G133" s="1"/>
      <c r="H133" s="24"/>
      <c r="I133" s="60"/>
      <c r="J133" s="1"/>
      <c r="K133" s="24"/>
      <c r="L133" s="24"/>
      <c r="M133" s="20"/>
      <c r="N133" s="60"/>
      <c r="O133" s="1"/>
      <c r="P133" s="24"/>
      <c r="Q133" s="24"/>
      <c r="R133" s="20"/>
      <c r="S133" s="60"/>
      <c r="T133" s="1"/>
      <c r="U133" s="24"/>
      <c r="V133" s="24"/>
      <c r="W133" s="20"/>
      <c r="X133" s="60"/>
      <c r="Y133" s="1"/>
      <c r="Z133" s="24"/>
      <c r="AA133" s="24"/>
      <c r="AB133" s="20"/>
      <c r="AC133" s="60"/>
      <c r="AD133" s="1"/>
      <c r="AE133" s="24"/>
      <c r="AF133" s="24"/>
      <c r="AG133" s="20"/>
      <c r="AH133" s="60"/>
      <c r="AJ133" s="24"/>
      <c r="AK133" s="24"/>
      <c r="AL133" s="20"/>
      <c r="AM133" s="60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x14ac:dyDescent="0.25">
      <c r="A134" s="1"/>
      <c r="B134" s="20"/>
      <c r="C134" s="1"/>
      <c r="E134" s="1"/>
      <c r="G134" s="1"/>
      <c r="H134" s="24"/>
      <c r="I134" s="60"/>
      <c r="J134" s="1"/>
      <c r="K134" s="24"/>
      <c r="L134" s="24"/>
      <c r="M134" s="20"/>
      <c r="N134" s="60"/>
      <c r="O134" s="1"/>
      <c r="P134" s="24"/>
      <c r="Q134" s="24"/>
      <c r="R134" s="20"/>
      <c r="S134" s="60"/>
      <c r="T134" s="1"/>
      <c r="U134" s="24"/>
      <c r="V134" s="24"/>
      <c r="W134" s="20"/>
      <c r="X134" s="60"/>
      <c r="Y134" s="1"/>
      <c r="Z134" s="24"/>
      <c r="AA134" s="24"/>
      <c r="AB134" s="20"/>
      <c r="AC134" s="60"/>
      <c r="AD134" s="1"/>
      <c r="AE134" s="24"/>
      <c r="AF134" s="24"/>
      <c r="AG134" s="20"/>
      <c r="AH134" s="60"/>
      <c r="AJ134" s="24"/>
      <c r="AK134" s="24"/>
      <c r="AL134" s="20"/>
      <c r="AM134" s="60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x14ac:dyDescent="0.25">
      <c r="A135" s="1"/>
      <c r="B135" s="20"/>
      <c r="C135" s="1"/>
      <c r="E135" s="1"/>
      <c r="G135" s="1"/>
      <c r="H135" s="24"/>
      <c r="I135" s="60"/>
      <c r="J135" s="1"/>
      <c r="K135" s="24"/>
      <c r="L135" s="24"/>
      <c r="M135" s="20"/>
      <c r="N135" s="60"/>
      <c r="O135" s="1"/>
      <c r="P135" s="24"/>
      <c r="Q135" s="24"/>
      <c r="R135" s="20"/>
      <c r="S135" s="60"/>
      <c r="T135" s="1"/>
      <c r="U135" s="24"/>
      <c r="V135" s="24"/>
      <c r="W135" s="20"/>
      <c r="X135" s="60"/>
      <c r="Y135" s="1"/>
      <c r="Z135" s="24"/>
      <c r="AA135" s="24"/>
      <c r="AB135" s="20"/>
      <c r="AC135" s="60"/>
      <c r="AD135" s="1"/>
      <c r="AE135" s="24"/>
      <c r="AF135" s="24"/>
      <c r="AG135" s="20"/>
      <c r="AH135" s="60"/>
      <c r="AJ135" s="24"/>
      <c r="AK135" s="24"/>
      <c r="AL135" s="20"/>
      <c r="AM135" s="60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x14ac:dyDescent="0.25">
      <c r="A136" s="1"/>
      <c r="B136" s="20"/>
      <c r="C136" s="1"/>
      <c r="E136" s="1"/>
      <c r="G136" s="1"/>
      <c r="H136" s="24"/>
      <c r="I136" s="60"/>
      <c r="J136" s="1"/>
      <c r="K136" s="24"/>
      <c r="L136" s="24"/>
      <c r="M136" s="20"/>
      <c r="N136" s="60"/>
      <c r="O136" s="1"/>
      <c r="P136" s="24"/>
      <c r="Q136" s="24"/>
      <c r="R136" s="20"/>
      <c r="S136" s="60"/>
      <c r="T136" s="1"/>
      <c r="U136" s="24"/>
      <c r="V136" s="24"/>
      <c r="W136" s="20"/>
      <c r="X136" s="60"/>
      <c r="Y136" s="1"/>
      <c r="Z136" s="24"/>
      <c r="AA136" s="24"/>
      <c r="AB136" s="20"/>
      <c r="AC136" s="60"/>
      <c r="AD136" s="1"/>
      <c r="AE136" s="24"/>
      <c r="AF136" s="24"/>
      <c r="AG136" s="20"/>
      <c r="AH136" s="60"/>
      <c r="AJ136" s="24"/>
      <c r="AK136" s="24"/>
      <c r="AL136" s="20"/>
      <c r="AM136" s="60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x14ac:dyDescent="0.25">
      <c r="A137" s="1"/>
      <c r="B137" s="20"/>
      <c r="C137" s="1"/>
      <c r="E137" s="1"/>
      <c r="G137" s="1"/>
      <c r="H137" s="24"/>
      <c r="I137" s="60"/>
      <c r="J137" s="1"/>
      <c r="K137" s="24"/>
      <c r="L137" s="24"/>
      <c r="M137" s="20"/>
      <c r="N137" s="60"/>
      <c r="O137" s="1"/>
      <c r="P137" s="24"/>
      <c r="Q137" s="24"/>
      <c r="R137" s="20"/>
      <c r="S137" s="60"/>
      <c r="T137" s="1"/>
      <c r="U137" s="24"/>
      <c r="V137" s="24"/>
      <c r="W137" s="20"/>
      <c r="X137" s="60"/>
      <c r="Y137" s="1"/>
      <c r="Z137" s="24"/>
      <c r="AA137" s="24"/>
      <c r="AB137" s="20"/>
      <c r="AC137" s="60"/>
      <c r="AD137" s="1"/>
      <c r="AE137" s="24"/>
      <c r="AF137" s="24"/>
      <c r="AG137" s="20"/>
      <c r="AH137" s="60"/>
      <c r="AJ137" s="24"/>
      <c r="AK137" s="24"/>
      <c r="AL137" s="20"/>
      <c r="AM137" s="60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x14ac:dyDescent="0.25">
      <c r="A138" s="1"/>
      <c r="B138" s="20"/>
      <c r="C138" s="1"/>
      <c r="E138" s="1"/>
      <c r="G138" s="1"/>
      <c r="H138" s="24"/>
      <c r="I138" s="60"/>
      <c r="J138" s="1"/>
      <c r="K138" s="24"/>
      <c r="L138" s="24"/>
      <c r="M138" s="20"/>
      <c r="N138" s="60"/>
      <c r="O138" s="1"/>
      <c r="P138" s="24"/>
      <c r="Q138" s="24"/>
      <c r="R138" s="20"/>
      <c r="S138" s="60"/>
      <c r="T138" s="1"/>
      <c r="U138" s="24"/>
      <c r="V138" s="24"/>
      <c r="W138" s="20"/>
      <c r="X138" s="60"/>
      <c r="Y138" s="1"/>
      <c r="Z138" s="24"/>
      <c r="AA138" s="24"/>
      <c r="AB138" s="20"/>
      <c r="AC138" s="60"/>
      <c r="AD138" s="1"/>
      <c r="AE138" s="24"/>
      <c r="AF138" s="24"/>
      <c r="AG138" s="20"/>
      <c r="AH138" s="60"/>
      <c r="AJ138" s="24"/>
      <c r="AK138" s="24"/>
      <c r="AL138" s="20"/>
      <c r="AM138" s="60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52" x14ac:dyDescent="0.25">
      <c r="A139" s="1"/>
      <c r="B139" s="20"/>
      <c r="C139" s="1"/>
      <c r="E139" s="1"/>
      <c r="G139" s="1"/>
      <c r="H139" s="24"/>
      <c r="I139" s="60"/>
      <c r="J139" s="1"/>
      <c r="K139" s="24"/>
      <c r="L139" s="24"/>
      <c r="M139" s="20"/>
      <c r="N139" s="60"/>
      <c r="O139" s="1"/>
      <c r="P139" s="24"/>
      <c r="Q139" s="24"/>
      <c r="R139" s="20"/>
      <c r="S139" s="60"/>
      <c r="T139" s="1"/>
      <c r="U139" s="24"/>
      <c r="V139" s="24"/>
      <c r="W139" s="20"/>
      <c r="X139" s="60"/>
      <c r="Y139" s="1"/>
      <c r="Z139" s="24"/>
      <c r="AA139" s="24"/>
      <c r="AB139" s="20"/>
      <c r="AC139" s="60"/>
      <c r="AD139" s="1"/>
      <c r="AE139" s="24"/>
      <c r="AF139" s="24"/>
      <c r="AG139" s="20"/>
      <c r="AH139" s="60"/>
      <c r="AJ139" s="24"/>
      <c r="AK139" s="24"/>
      <c r="AL139" s="20"/>
      <c r="AM139" s="60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52" x14ac:dyDescent="0.25">
      <c r="A140" s="1"/>
      <c r="B140" s="20"/>
      <c r="C140" s="1"/>
      <c r="E140" s="1"/>
      <c r="G140" s="1"/>
      <c r="H140" s="24"/>
      <c r="I140" s="60"/>
      <c r="J140" s="1"/>
      <c r="K140" s="24"/>
      <c r="L140" s="24"/>
      <c r="M140" s="20"/>
      <c r="N140" s="60"/>
      <c r="O140" s="1"/>
      <c r="P140" s="24"/>
      <c r="Q140" s="24"/>
      <c r="R140" s="20"/>
      <c r="S140" s="60"/>
      <c r="T140" s="1"/>
      <c r="U140" s="24"/>
      <c r="V140" s="24"/>
      <c r="W140" s="20"/>
      <c r="X140" s="60"/>
      <c r="Y140" s="1"/>
      <c r="Z140" s="24"/>
      <c r="AA140" s="24"/>
      <c r="AB140" s="20"/>
      <c r="AC140" s="60"/>
      <c r="AD140" s="1"/>
      <c r="AE140" s="24"/>
      <c r="AF140" s="24"/>
      <c r="AG140" s="20"/>
      <c r="AH140" s="60"/>
      <c r="AJ140" s="24"/>
      <c r="AK140" s="24"/>
      <c r="AL140" s="20"/>
      <c r="AM140" s="60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52" x14ac:dyDescent="0.25">
      <c r="A141" s="1"/>
      <c r="B141" s="20"/>
      <c r="C141" s="1"/>
      <c r="E141" s="1"/>
      <c r="G141" s="1"/>
      <c r="H141" s="24"/>
      <c r="I141" s="60"/>
      <c r="J141" s="1"/>
      <c r="K141" s="24"/>
      <c r="L141" s="24"/>
      <c r="M141" s="20"/>
      <c r="N141" s="60"/>
      <c r="O141" s="1"/>
      <c r="P141" s="24"/>
      <c r="Q141" s="24"/>
      <c r="R141" s="20"/>
      <c r="S141" s="60"/>
      <c r="T141" s="1"/>
      <c r="U141" s="24"/>
      <c r="V141" s="24"/>
      <c r="W141" s="20"/>
      <c r="X141" s="60"/>
      <c r="Y141" s="1"/>
      <c r="Z141" s="24"/>
      <c r="AA141" s="24"/>
      <c r="AB141" s="20"/>
      <c r="AC141" s="60"/>
      <c r="AD141" s="1"/>
      <c r="AE141" s="24"/>
      <c r="AF141" s="24"/>
      <c r="AG141" s="20"/>
      <c r="AH141" s="60"/>
      <c r="AJ141" s="24"/>
      <c r="AK141" s="24"/>
      <c r="AL141" s="20"/>
      <c r="AM141" s="60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52" x14ac:dyDescent="0.25">
      <c r="A142" s="1"/>
      <c r="B142" s="20"/>
      <c r="C142" s="1"/>
      <c r="E142" s="1"/>
      <c r="G142" s="1"/>
      <c r="H142" s="24"/>
      <c r="I142" s="60"/>
      <c r="J142" s="1"/>
      <c r="K142" s="24"/>
      <c r="L142" s="24"/>
      <c r="M142" s="20"/>
      <c r="N142" s="60"/>
      <c r="O142" s="1"/>
      <c r="P142" s="24"/>
      <c r="Q142" s="24"/>
      <c r="R142" s="20"/>
      <c r="S142" s="60"/>
      <c r="T142" s="1"/>
      <c r="U142" s="24"/>
      <c r="V142" s="24"/>
      <c r="W142" s="20"/>
      <c r="X142" s="60"/>
      <c r="Y142" s="1"/>
      <c r="Z142" s="24"/>
      <c r="AA142" s="24"/>
      <c r="AB142" s="20"/>
      <c r="AC142" s="60"/>
      <c r="AD142" s="1"/>
      <c r="AE142" s="24"/>
      <c r="AF142" s="24"/>
      <c r="AG142" s="20"/>
      <c r="AH142" s="60"/>
      <c r="AJ142" s="24"/>
      <c r="AK142" s="24"/>
      <c r="AL142" s="20"/>
      <c r="AM142" s="60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52" x14ac:dyDescent="0.25">
      <c r="A143" s="1"/>
      <c r="B143" s="20"/>
      <c r="C143" s="1"/>
      <c r="E143" s="1"/>
      <c r="G143" s="1"/>
      <c r="H143" s="24"/>
      <c r="I143" s="60"/>
      <c r="J143" s="1"/>
      <c r="K143" s="24"/>
      <c r="L143" s="24"/>
      <c r="M143" s="20"/>
      <c r="N143" s="60"/>
      <c r="O143" s="1"/>
      <c r="P143" s="24"/>
      <c r="Q143" s="24"/>
      <c r="R143" s="20"/>
      <c r="S143" s="60"/>
      <c r="T143" s="1"/>
      <c r="U143" s="24"/>
      <c r="V143" s="24"/>
      <c r="W143" s="20"/>
      <c r="X143" s="60"/>
      <c r="Y143" s="1"/>
      <c r="Z143" s="24"/>
      <c r="AA143" s="24"/>
      <c r="AB143" s="20"/>
      <c r="AC143" s="60"/>
      <c r="AD143" s="1"/>
      <c r="AE143" s="24"/>
      <c r="AF143" s="24"/>
      <c r="AG143" s="20"/>
      <c r="AH143" s="60"/>
      <c r="AJ143" s="24"/>
      <c r="AK143" s="24"/>
      <c r="AL143" s="20"/>
      <c r="AM143" s="60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52" x14ac:dyDescent="0.25">
      <c r="A144" s="1"/>
      <c r="B144" s="20"/>
      <c r="C144" s="1"/>
      <c r="E144" s="1"/>
      <c r="G144" s="1"/>
      <c r="H144" s="24"/>
      <c r="I144" s="60"/>
      <c r="J144" s="1"/>
      <c r="K144" s="24"/>
      <c r="L144" s="24"/>
      <c r="M144" s="20"/>
      <c r="N144" s="60"/>
      <c r="O144" s="1"/>
      <c r="P144" s="24"/>
      <c r="Q144" s="24"/>
      <c r="R144" s="20"/>
      <c r="S144" s="60"/>
      <c r="T144" s="1"/>
      <c r="U144" s="24"/>
      <c r="V144" s="24"/>
      <c r="W144" s="20"/>
      <c r="X144" s="60"/>
      <c r="Y144" s="1"/>
      <c r="Z144" s="24"/>
      <c r="AA144" s="24"/>
      <c r="AB144" s="20"/>
      <c r="AC144" s="60"/>
      <c r="AD144" s="1"/>
      <c r="AE144" s="24"/>
      <c r="AF144" s="24"/>
      <c r="AG144" s="20"/>
      <c r="AH144" s="60"/>
      <c r="AJ144" s="24"/>
      <c r="AK144" s="24"/>
      <c r="AL144" s="20"/>
      <c r="AM144" s="60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1"/>
      <c r="B145" s="20"/>
      <c r="C145" s="1"/>
      <c r="E145" s="1"/>
      <c r="G145" s="1"/>
      <c r="H145" s="24"/>
      <c r="I145" s="60"/>
      <c r="J145" s="1"/>
      <c r="K145" s="24"/>
      <c r="L145" s="24"/>
      <c r="M145" s="20"/>
      <c r="N145" s="60"/>
      <c r="O145" s="1"/>
      <c r="P145" s="24"/>
      <c r="Q145" s="24"/>
      <c r="R145" s="20"/>
      <c r="S145" s="60"/>
      <c r="T145" s="1"/>
      <c r="U145" s="24"/>
      <c r="V145" s="24"/>
      <c r="W145" s="20"/>
      <c r="X145" s="60"/>
      <c r="Y145" s="1"/>
      <c r="Z145" s="24"/>
      <c r="AA145" s="24"/>
      <c r="AB145" s="20"/>
      <c r="AC145" s="60"/>
      <c r="AD145" s="1"/>
      <c r="AE145" s="24"/>
      <c r="AF145" s="24"/>
      <c r="AG145" s="20"/>
      <c r="AH145" s="60"/>
      <c r="AJ145" s="24"/>
      <c r="AK145" s="24"/>
      <c r="AL145" s="20"/>
      <c r="AM145" s="60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1"/>
      <c r="B146" s="20"/>
      <c r="C146" s="1"/>
      <c r="E146" s="1"/>
      <c r="G146" s="1"/>
    </row>
    <row r="147" spans="1:49" x14ac:dyDescent="0.25">
      <c r="A147" s="1"/>
      <c r="B147" s="20"/>
      <c r="C147" s="1"/>
      <c r="E147" s="1"/>
      <c r="G147" s="1"/>
    </row>
    <row r="148" spans="1:49" x14ac:dyDescent="0.25">
      <c r="A148" s="1"/>
      <c r="B148" s="20"/>
      <c r="C148" s="1"/>
      <c r="E148" s="1"/>
      <c r="G148" s="1"/>
    </row>
  </sheetData>
  <mergeCells count="15">
    <mergeCell ref="A1:G1"/>
    <mergeCell ref="J2:M2"/>
    <mergeCell ref="O2:R2"/>
    <mergeCell ref="BD2:BF2"/>
    <mergeCell ref="BI2:BK2"/>
    <mergeCell ref="AY2:BA2"/>
    <mergeCell ref="AT2:AV2"/>
    <mergeCell ref="B14:B15"/>
    <mergeCell ref="D9:E9"/>
    <mergeCell ref="AO2:AQ2"/>
    <mergeCell ref="AJ2:AL2"/>
    <mergeCell ref="U2:W2"/>
    <mergeCell ref="Z2:AB2"/>
    <mergeCell ref="AD2:AG2"/>
    <mergeCell ref="D6:E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9"/>
  <sheetViews>
    <sheetView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W1" sqref="W1:Z1048576"/>
    </sheetView>
  </sheetViews>
  <sheetFormatPr defaultRowHeight="15" x14ac:dyDescent="0.25"/>
  <cols>
    <col min="1" max="1" width="10.140625" style="47" customWidth="1"/>
    <col min="2" max="2" width="10.5703125" style="47" customWidth="1"/>
    <col min="3" max="3" width="12.140625" customWidth="1"/>
    <col min="5" max="5" width="4.140625" customWidth="1"/>
    <col min="6" max="6" width="11.42578125" customWidth="1"/>
    <col min="8" max="8" width="2.42578125" customWidth="1"/>
    <col min="9" max="10" width="13.28515625" style="47" customWidth="1"/>
    <col min="12" max="12" width="12.140625" customWidth="1"/>
    <col min="13" max="13" width="14.28515625" bestFit="1" customWidth="1"/>
    <col min="14" max="14" width="11" customWidth="1"/>
    <col min="23" max="23" width="13.42578125" style="178" customWidth="1"/>
    <col min="24" max="26" width="9.140625" customWidth="1"/>
  </cols>
  <sheetData>
    <row r="1" spans="1:26" x14ac:dyDescent="0.25">
      <c r="A1" s="270" t="s">
        <v>140</v>
      </c>
      <c r="B1" s="271"/>
      <c r="C1" s="272">
        <f ca="1">Retirement_Inputs!B6</f>
        <v>2019</v>
      </c>
      <c r="N1" t="s">
        <v>186</v>
      </c>
    </row>
    <row r="2" spans="1:26" x14ac:dyDescent="0.25">
      <c r="A2" s="101"/>
      <c r="N2" s="217" t="s">
        <v>187</v>
      </c>
    </row>
    <row r="3" spans="1:26" x14ac:dyDescent="0.25">
      <c r="A3" s="101"/>
    </row>
    <row r="4" spans="1:26" x14ac:dyDescent="0.25">
      <c r="A4" s="101"/>
    </row>
    <row r="5" spans="1:26" x14ac:dyDescent="0.25">
      <c r="W5" s="178" t="s">
        <v>250</v>
      </c>
    </row>
    <row r="6" spans="1:26" ht="60" x14ac:dyDescent="0.25">
      <c r="A6" s="47" t="s">
        <v>141</v>
      </c>
      <c r="B6" s="47" t="s">
        <v>142</v>
      </c>
      <c r="C6" t="s">
        <v>179</v>
      </c>
      <c r="D6" t="s">
        <v>144</v>
      </c>
      <c r="E6" t="s">
        <v>157</v>
      </c>
      <c r="F6" t="s">
        <v>180</v>
      </c>
      <c r="G6" t="s">
        <v>155</v>
      </c>
      <c r="H6" t="s">
        <v>158</v>
      </c>
      <c r="I6" s="47" t="s">
        <v>197</v>
      </c>
      <c r="J6" s="47" t="s">
        <v>143</v>
      </c>
      <c r="K6" t="s">
        <v>156</v>
      </c>
      <c r="L6" s="209" t="s">
        <v>193</v>
      </c>
      <c r="M6" s="209" t="s">
        <v>159</v>
      </c>
      <c r="N6" s="209" t="s">
        <v>176</v>
      </c>
      <c r="W6" s="280" t="str">
        <f>'Staggered Goals(All) Planner'!B72</f>
        <v>Rental income</v>
      </c>
      <c r="X6" s="274" t="str">
        <f>'Staggered Goals(All) Planner'!C72</f>
        <v>Pension from EPS</v>
      </c>
      <c r="Y6" s="274" t="str">
        <f>'Staggered Goals(All) Planner'!D72</f>
        <v>Superannuation Annuity</v>
      </c>
      <c r="Z6" s="274" t="str">
        <f>'Staggered Goals(All) Planner'!E72</f>
        <v>Other annuity</v>
      </c>
    </row>
    <row r="7" spans="1:26" x14ac:dyDescent="0.25">
      <c r="A7" s="47">
        <f ca="1">C1+1</f>
        <v>2020</v>
      </c>
      <c r="B7" s="47">
        <f>1</f>
        <v>1</v>
      </c>
      <c r="C7" s="178" t="str">
        <f>_xlfn.IFNA(HLOOKUP(B7, 'Staggered Goals(All) Planner'!$B$6:$J$13, 8, FALSE),"")</f>
        <v/>
      </c>
      <c r="D7" t="str">
        <f>IF(Table1[[#This Row],[Yrs to go]]&lt;yr_to_ret,"",_xlfn.IFNA(HLOOKUP(B7, 'Staggered Goals(All) Planner'!$B$6:$J$21, 16, FALSE),""))</f>
        <v/>
      </c>
      <c r="F7" t="str">
        <f>_xlfn.IFNA(HLOOKUP(B7,'Staggered Goals(All) Planner'!$B$28:$J$43,8,FALSE),"")</f>
        <v/>
      </c>
      <c r="I7" s="205">
        <f>IF((B7&lt;Retirement_Inputs!$B$11),0,Retirement_Inputs!$B$12*12)</f>
        <v>0</v>
      </c>
      <c r="J7" s="206">
        <f ca="1">SUMIF('Staggered Goals(All) Planner'!$B$51:$Z$51,YearlyCashFlow!B7,'Staggered Goals(All) Planner'!$B$58:$Z$58)</f>
        <v>0</v>
      </c>
      <c r="K7" s="47" t="str">
        <f ca="1">_xlfn.IFNA(HLOOKUP(B7,'Staggered Goals(All) Planner'!$B$51:$S$67, 16, FALSE),"")</f>
        <v/>
      </c>
      <c r="L7" s="205">
        <f t="shared" ref="L7:L38" ca="1" si="0">SUM(W7:Z7)</f>
        <v>0</v>
      </c>
      <c r="M7" s="178">
        <f>IF(Table1[[#This Row],[Yrs to go]]&lt;yr_to_ret, 0, IF(Table1[[#This Row],[Yrs to go]]&gt;time,0,SUM(C7,F7,I7,J7)-Table1[[#This Row],[Yearly Income from other sources]]))</f>
        <v>0</v>
      </c>
      <c r="N7" s="178">
        <f>PV(Retirement_Inputs!$B$16,Table1[[#This Row],[Yrs to go]],,-Table1[[#This Row],[Total Cash Required]])</f>
        <v>0</v>
      </c>
      <c r="W7" s="178">
        <f t="shared" ref="W7:W38" ca="1" si="1">IF(A7&lt;sr_st1,0,IF(A7&lt;sr_end1, ((1+sr_rate1)^(A7-sr_st1))*source1*12,0))</f>
        <v>0</v>
      </c>
      <c r="X7" s="178">
        <f t="shared" ref="X7:X38" ca="1" si="2">IF(A7&lt;sr_st2,0,IF(A7&lt;sr_end2, ((1+sr_rate2)^(A7-sr_st2))*source2*12,0))</f>
        <v>0</v>
      </c>
      <c r="Y7" s="178">
        <f t="shared" ref="Y7:Y38" ca="1" si="3">IF(A7&lt;sr_st3,0,IF(A7&lt;sr_end3, ((1+sr_rate3)^(A7-sr_st3))*source3*12,0))</f>
        <v>0</v>
      </c>
      <c r="Z7" s="178">
        <f t="shared" ref="Z7:Z38" ca="1" si="4">IF(A7&lt;sr_st4,0,IF(A7&lt;sr_end4, ((1+sr_rate4)^(A7-sr_st4))*source4*12,0))</f>
        <v>0</v>
      </c>
    </row>
    <row r="8" spans="1:26" x14ac:dyDescent="0.25">
      <c r="A8" s="47">
        <f ca="1">A7+1</f>
        <v>2021</v>
      </c>
      <c r="B8" s="47">
        <f>B7+1</f>
        <v>2</v>
      </c>
      <c r="C8" s="178" t="str">
        <f>_xlfn.IFNA(HLOOKUP(B8, 'Staggered Goals(All) Planner'!$B$6:$J$13, 8, FALSE),"")</f>
        <v/>
      </c>
      <c r="D8" t="str">
        <f>IF(Table1[[#This Row],[Yrs to go]]&lt;yr_to_ret,"",_xlfn.IFNA(HLOOKUP(B8, 'Staggered Goals(All) Planner'!$B$6:$J$21, 16, FALSE),""))</f>
        <v/>
      </c>
      <c r="F8" s="178" t="str">
        <f>_xlfn.IFNA(HLOOKUP(B8, 'Staggered Goals(All) Planner'!$B$28:$J$43, 8, FALSE),"")</f>
        <v/>
      </c>
      <c r="I8" s="205">
        <f>IF(I7&gt;0,I7*(1+Retirement_Inputs!$B$15),IF((B8&lt;Retirement_Inputs!$B$11),0,Retirement_Inputs!$B$12*12))</f>
        <v>0</v>
      </c>
      <c r="J8" s="206">
        <f ca="1">SUMIF('Staggered Goals(All) Planner'!$B$51:$Z$51,YearlyCashFlow!B8,'Staggered Goals(All) Planner'!$B$58:$Z$58)</f>
        <v>0</v>
      </c>
      <c r="K8" s="47" t="str">
        <f ca="1">_xlfn.IFNA(HLOOKUP(B8,'Staggered Goals(All) Planner'!$B$51:$S$67, 16, FALSE),"")</f>
        <v/>
      </c>
      <c r="L8" s="205">
        <f t="shared" ca="1" si="0"/>
        <v>0</v>
      </c>
      <c r="M8" s="178">
        <f>IF(Table1[[#This Row],[Yrs to go]]&lt;yr_to_ret, 0, IF(Table1[[#This Row],[Yrs to go]]&gt;time,0,SUM(C8,F8,I8,J8)-Table1[[#This Row],[Yearly Income from other sources]]))</f>
        <v>0</v>
      </c>
      <c r="N8" s="178">
        <f>PV(Retirement_Inputs!$B$16,Table1[[#This Row],[Yrs to go]],,-Table1[[#This Row],[Total Cash Required]])</f>
        <v>0</v>
      </c>
      <c r="W8" s="178">
        <f t="shared" ca="1" si="1"/>
        <v>0</v>
      </c>
      <c r="X8" s="178">
        <f t="shared" ca="1" si="2"/>
        <v>0</v>
      </c>
      <c r="Y8" s="178">
        <f t="shared" ca="1" si="3"/>
        <v>0</v>
      </c>
      <c r="Z8" s="178">
        <f t="shared" ca="1" si="4"/>
        <v>0</v>
      </c>
    </row>
    <row r="9" spans="1:26" x14ac:dyDescent="0.25">
      <c r="A9" s="47">
        <f ca="1">A8+1</f>
        <v>2022</v>
      </c>
      <c r="B9" s="47">
        <f t="shared" ref="B9:B63" si="5">B8+1</f>
        <v>3</v>
      </c>
      <c r="C9" s="178" t="str">
        <f>_xlfn.IFNA(HLOOKUP(B9, 'Staggered Goals(All) Planner'!$B$6:$J$13, 8, FALSE),"")</f>
        <v/>
      </c>
      <c r="D9" t="str">
        <f>IF(Table1[[#This Row],[Yrs to go]]&lt;yr_to_ret,"",_xlfn.IFNA(HLOOKUP(B9, 'Staggered Goals(All) Planner'!$B$6:$J$21, 16, FALSE),""))</f>
        <v/>
      </c>
      <c r="F9" s="178" t="str">
        <f>_xlfn.IFNA(HLOOKUP(B9, 'Staggered Goals(All) Planner'!$B$28:$J$43, 8, FALSE),"")</f>
        <v/>
      </c>
      <c r="I9" s="205">
        <f>IF(I8&gt;0,I8*(1+Retirement_Inputs!$B$15),IF((B9&lt;Retirement_Inputs!$B$11),0,Retirement_Inputs!$B$12*12))</f>
        <v>0</v>
      </c>
      <c r="J9" s="206">
        <f ca="1">SUMIF('Staggered Goals(All) Planner'!$B$51:$Z$51,YearlyCashFlow!B9,'Staggered Goals(All) Planner'!$B$58:$Z$58)</f>
        <v>1009045.6000000001</v>
      </c>
      <c r="K9" s="101" t="str">
        <f ca="1">_xlfn.IFNA(HLOOKUP(B9,'Staggered Goals(All) Planner'!$B$51:$S$67, 16, FALSE),"")</f>
        <v>Car</v>
      </c>
      <c r="L9" s="205">
        <f t="shared" ca="1" si="0"/>
        <v>0</v>
      </c>
      <c r="M9" s="178">
        <f>IF(Table1[[#This Row],[Yrs to go]]&lt;yr_to_ret, 0, IF(Table1[[#This Row],[Yrs to go]]&gt;time,0,SUM(C9,F9,I9,J9)-Table1[[#This Row],[Yearly Income from other sources]]))</f>
        <v>0</v>
      </c>
      <c r="N9" s="178">
        <f>PV(Retirement_Inputs!$B$16,Table1[[#This Row],[Yrs to go]],,-Table1[[#This Row],[Total Cash Required]])</f>
        <v>0</v>
      </c>
      <c r="W9" s="178">
        <f t="shared" ca="1" si="1"/>
        <v>0</v>
      </c>
      <c r="X9" s="178">
        <f t="shared" ca="1" si="2"/>
        <v>0</v>
      </c>
      <c r="Y9" s="178">
        <f t="shared" ca="1" si="3"/>
        <v>0</v>
      </c>
      <c r="Z9" s="178">
        <f t="shared" ca="1" si="4"/>
        <v>0</v>
      </c>
    </row>
    <row r="10" spans="1:26" x14ac:dyDescent="0.25">
      <c r="A10" s="47">
        <f ca="1">A9+1</f>
        <v>2023</v>
      </c>
      <c r="B10" s="47">
        <f t="shared" si="5"/>
        <v>4</v>
      </c>
      <c r="C10" s="178" t="str">
        <f>_xlfn.IFNA(HLOOKUP(B10, 'Staggered Goals(All) Planner'!$B$6:$J$13, 8, FALSE),"")</f>
        <v/>
      </c>
      <c r="D10" t="str">
        <f>IF(Table1[[#This Row],[Yrs to go]]&lt;yr_to_ret,"",_xlfn.IFNA(HLOOKUP(B10, 'Staggered Goals(All) Planner'!$B$6:$J$21, 16, FALSE),""))</f>
        <v/>
      </c>
      <c r="F10" s="178" t="str">
        <f>_xlfn.IFNA(HLOOKUP(B10, 'Staggered Goals(All) Planner'!$B$28:$J$43, 8, FALSE),"")</f>
        <v/>
      </c>
      <c r="I10" s="205">
        <f>IF(I9&gt;0,I9*(1+Retirement_Inputs!$B$15),IF((B10&lt;Retirement_Inputs!$B$11),0,Retirement_Inputs!$B$12*12))</f>
        <v>0</v>
      </c>
      <c r="J10" s="206">
        <f ca="1">SUMIF('Staggered Goals(All) Planner'!$B$51:$Z$51,YearlyCashFlow!B10,'Staggered Goals(All) Planner'!$B$58:$Z$58)</f>
        <v>292820.00000000006</v>
      </c>
      <c r="K10" s="101" t="str">
        <f ca="1">_xlfn.IFNA(HLOOKUP(B10,'Staggered Goals(All) Planner'!$B$51:$S$67, 16, FALSE),"")</f>
        <v xml:space="preserve">School </v>
      </c>
      <c r="L10" s="205">
        <f t="shared" ca="1" si="0"/>
        <v>0</v>
      </c>
      <c r="M10" s="178">
        <f>IF(Table1[[#This Row],[Yrs to go]]&lt;yr_to_ret, 0, IF(Table1[[#This Row],[Yrs to go]]&gt;time,0,SUM(C10,F10,I10,J10)-Table1[[#This Row],[Yearly Income from other sources]]))</f>
        <v>0</v>
      </c>
      <c r="N10" s="178">
        <f>PV(Retirement_Inputs!$B$16,Table1[[#This Row],[Yrs to go]],,-Table1[[#This Row],[Total Cash Required]])</f>
        <v>0</v>
      </c>
      <c r="W10" s="178">
        <f t="shared" ca="1" si="1"/>
        <v>0</v>
      </c>
      <c r="X10" s="178">
        <f t="shared" ca="1" si="2"/>
        <v>0</v>
      </c>
      <c r="Y10" s="178">
        <f t="shared" ca="1" si="3"/>
        <v>0</v>
      </c>
      <c r="Z10" s="178">
        <f t="shared" ca="1" si="4"/>
        <v>0</v>
      </c>
    </row>
    <row r="11" spans="1:26" x14ac:dyDescent="0.25">
      <c r="A11" s="47">
        <f ca="1">A10+1</f>
        <v>2024</v>
      </c>
      <c r="B11" s="47">
        <f t="shared" si="5"/>
        <v>5</v>
      </c>
      <c r="C11" s="178" t="str">
        <f>_xlfn.IFNA(HLOOKUP(B11, 'Staggered Goals(All) Planner'!$B$6:$J$13, 8, FALSE),"")</f>
        <v/>
      </c>
      <c r="D11" t="str">
        <f>IF(Table1[[#This Row],[Yrs to go]]&lt;yr_to_ret,"",_xlfn.IFNA(HLOOKUP(B11, 'Staggered Goals(All) Planner'!$B$6:$J$21, 16, FALSE),""))</f>
        <v/>
      </c>
      <c r="F11" s="178" t="str">
        <f>_xlfn.IFNA(HLOOKUP(B11, 'Staggered Goals(All) Planner'!$B$28:$J$43, 8, FALSE),"")</f>
        <v/>
      </c>
      <c r="I11" s="205">
        <f>IF(I10&gt;0,I10*(1+Retirement_Inputs!$B$15),IF((B11&lt;Retirement_Inputs!$B$11),0,Retirement_Inputs!$B$12*12))</f>
        <v>0</v>
      </c>
      <c r="J11" s="206">
        <f ca="1">SUMIF('Staggered Goals(All) Planner'!$B$51:$Z$51,YearlyCashFlow!B11,'Staggered Goals(All) Planner'!$B$58:$Z$58)</f>
        <v>1017666.44458</v>
      </c>
      <c r="K11" s="101" t="str">
        <f ca="1">_xlfn.IFNA(HLOOKUP(B11,'Staggered Goals(All) Planner'!$B$51:$S$67, 16, FALSE),"")</f>
        <v>Vacation</v>
      </c>
      <c r="L11" s="205">
        <f t="shared" ca="1" si="0"/>
        <v>0</v>
      </c>
      <c r="M11" s="178">
        <f>IF(Table1[[#This Row],[Yrs to go]]&lt;yr_to_ret, 0, IF(Table1[[#This Row],[Yrs to go]]&gt;time,0,SUM(C11,F11,I11,J11)-Table1[[#This Row],[Yearly Income from other sources]]))</f>
        <v>0</v>
      </c>
      <c r="N11" s="178">
        <f>PV(Retirement_Inputs!$B$16,Table1[[#This Row],[Yrs to go]],,-Table1[[#This Row],[Total Cash Required]])</f>
        <v>0</v>
      </c>
      <c r="W11" s="178">
        <f t="shared" ca="1" si="1"/>
        <v>0</v>
      </c>
      <c r="X11" s="178">
        <f t="shared" ca="1" si="2"/>
        <v>0</v>
      </c>
      <c r="Y11" s="178">
        <f t="shared" ca="1" si="3"/>
        <v>0</v>
      </c>
      <c r="Z11" s="178">
        <f t="shared" ca="1" si="4"/>
        <v>0</v>
      </c>
    </row>
    <row r="12" spans="1:26" x14ac:dyDescent="0.25">
      <c r="A12" s="47">
        <f t="shared" ref="A12:A63" ca="1" si="6">A11+1</f>
        <v>2025</v>
      </c>
      <c r="B12" s="47">
        <f t="shared" si="5"/>
        <v>6</v>
      </c>
      <c r="C12" s="178">
        <f>_xlfn.IFNA(HLOOKUP(B12, 'Staggered Goals(All) Planner'!$B$6:$J$13, 8, FALSE),"")</f>
        <v>1771561.0000000009</v>
      </c>
      <c r="D12" t="str">
        <f>_xlfn.IFNA(HLOOKUP(B12, 'Staggered Goals(All) Planner'!$B$6:$J$21, 16, FALSE),"")</f>
        <v>1st Year</v>
      </c>
      <c r="F12" s="178" t="str">
        <f>_xlfn.IFNA(HLOOKUP(B12, 'Staggered Goals(All) Planner'!$B$28:$J$43, 8, FALSE),"")</f>
        <v/>
      </c>
      <c r="I12" s="205">
        <f>IF(I11&gt;0,I11*(1+Retirement_Inputs!$B$15),IF((B12&lt;Retirement_Inputs!$B$11),0,Retirement_Inputs!$B$12*12))</f>
        <v>0</v>
      </c>
      <c r="J12" s="206">
        <f ca="1">SUMIF('Staggered Goals(All) Planner'!$B$51:$Z$51,YearlyCashFlow!B12,'Staggered Goals(All) Planner'!$B$58:$Z$58)</f>
        <v>0</v>
      </c>
      <c r="K12" s="101" t="str">
        <f ca="1">_xlfn.IFNA(HLOOKUP(B12,'Staggered Goals(All) Planner'!$B$51:$S$67, 16, FALSE),"")</f>
        <v/>
      </c>
      <c r="L12" s="205">
        <f t="shared" ca="1" si="0"/>
        <v>0</v>
      </c>
      <c r="M12" s="178">
        <f>IF(Table1[[#This Row],[Yrs to go]]&lt;yr_to_ret, 0, IF(Table1[[#This Row],[Yrs to go]]&gt;time,0,SUM(C12,F12,I12,J12)-Table1[[#This Row],[Yearly Income from other sources]]))</f>
        <v>0</v>
      </c>
      <c r="N12" s="178">
        <f>PV(Retirement_Inputs!$B$16,Table1[[#This Row],[Yrs to go]],,-Table1[[#This Row],[Total Cash Required]])</f>
        <v>0</v>
      </c>
      <c r="W12" s="178">
        <f t="shared" ca="1" si="1"/>
        <v>0</v>
      </c>
      <c r="X12" s="178">
        <f t="shared" ca="1" si="2"/>
        <v>0</v>
      </c>
      <c r="Y12" s="178">
        <f t="shared" ca="1" si="3"/>
        <v>0</v>
      </c>
      <c r="Z12" s="178">
        <f t="shared" ca="1" si="4"/>
        <v>0</v>
      </c>
    </row>
    <row r="13" spans="1:26" x14ac:dyDescent="0.25">
      <c r="A13" s="47">
        <f t="shared" ca="1" si="6"/>
        <v>2026</v>
      </c>
      <c r="B13" s="47">
        <f t="shared" si="5"/>
        <v>7</v>
      </c>
      <c r="C13" s="178">
        <f>_xlfn.IFNA(HLOOKUP(B13, 'Staggered Goals(All) Planner'!$B$6:$J$13, 8, FALSE),"")</f>
        <v>1169230.2600000007</v>
      </c>
      <c r="D13" t="str">
        <f>_xlfn.IFNA(HLOOKUP(B13, 'Staggered Goals(All) Planner'!$B$6:$J$21, 16, FALSE),"")</f>
        <v>2nd Year</v>
      </c>
      <c r="F13" s="178" t="str">
        <f>_xlfn.IFNA(HLOOKUP(B13, 'Staggered Goals(All) Planner'!$B$28:$J$43, 8, FALSE),"")</f>
        <v/>
      </c>
      <c r="G13" t="str">
        <f>_xlfn.IFNA(HLOOKUP(B13, 'Staggered Goals(All) Planner'!$B$28:$J$43, 16, FALSE),"")</f>
        <v/>
      </c>
      <c r="I13" s="205">
        <f>IF(I12&gt;0,I12*(1+Retirement_Inputs!$B$15),IF((B13&lt;Retirement_Inputs!$B$11),0,Retirement_Inputs!$B$12*12))</f>
        <v>0</v>
      </c>
      <c r="J13" s="206">
        <f ca="1">SUMIF('Staggered Goals(All) Planner'!$B$51:$Z$51,YearlyCashFlow!B13,'Staggered Goals(All) Planner'!$B$58:$Z$58)</f>
        <v>0</v>
      </c>
      <c r="K13" s="101" t="str">
        <f ca="1">_xlfn.IFNA(HLOOKUP(B13,'Staggered Goals(All) Planner'!$B$51:$S$67, 16, FALSE),"")</f>
        <v/>
      </c>
      <c r="L13" s="205">
        <f t="shared" ca="1" si="0"/>
        <v>0</v>
      </c>
      <c r="M13" s="178">
        <f>IF(Table1[[#This Row],[Yrs to go]]&lt;yr_to_ret, 0, IF(Table1[[#This Row],[Yrs to go]]&gt;time,0,SUM(C13,F13,I13,J13)-Table1[[#This Row],[Yearly Income from other sources]]))</f>
        <v>0</v>
      </c>
      <c r="N13" s="178">
        <f>PV(Retirement_Inputs!$B$16,Table1[[#This Row],[Yrs to go]],,-Table1[[#This Row],[Total Cash Required]])</f>
        <v>0</v>
      </c>
      <c r="W13" s="178">
        <f t="shared" ca="1" si="1"/>
        <v>0</v>
      </c>
      <c r="X13" s="178">
        <f t="shared" ca="1" si="2"/>
        <v>0</v>
      </c>
      <c r="Y13" s="178">
        <f t="shared" ca="1" si="3"/>
        <v>0</v>
      </c>
      <c r="Z13" s="178">
        <f t="shared" ca="1" si="4"/>
        <v>0</v>
      </c>
    </row>
    <row r="14" spans="1:26" x14ac:dyDescent="0.25">
      <c r="A14" s="47">
        <f t="shared" ca="1" si="6"/>
        <v>2027</v>
      </c>
      <c r="B14" s="47">
        <f t="shared" si="5"/>
        <v>8</v>
      </c>
      <c r="C14" s="178">
        <f>_xlfn.IFNA(HLOOKUP(B14, 'Staggered Goals(All) Planner'!$B$6:$J$13, 8, FALSE),"")</f>
        <v>1286153.2860000008</v>
      </c>
      <c r="D14" t="str">
        <f>_xlfn.IFNA(HLOOKUP(B14, 'Staggered Goals(All) Planner'!$B$6:$J$21, 16, FALSE),"")</f>
        <v>3rd Year</v>
      </c>
      <c r="F14" s="178" t="str">
        <f>_xlfn.IFNA(HLOOKUP(B14, 'Staggered Goals(All) Planner'!$B$28:$J$43, 8, FALSE),"")</f>
        <v/>
      </c>
      <c r="G14" t="str">
        <f>_xlfn.IFNA(HLOOKUP(B14, 'Staggered Goals(All) Planner'!$B$28:$J$43, 16, FALSE),"")</f>
        <v/>
      </c>
      <c r="I14" s="205">
        <f>IF(I13&gt;0,I13*(1+Retirement_Inputs!$B$15),IF((B14&lt;Retirement_Inputs!$B$11),0,Retirement_Inputs!$B$12*12))</f>
        <v>1110558.1261691293</v>
      </c>
      <c r="J14" s="206">
        <f ca="1">SUMIF('Staggered Goals(All) Planner'!$B$51:$Z$51,YearlyCashFlow!B14,'Staggered Goals(All) Planner'!$B$58:$Z$58)</f>
        <v>0</v>
      </c>
      <c r="K14" s="101" t="str">
        <f ca="1">_xlfn.IFNA(HLOOKUP(B14,'Staggered Goals(All) Planner'!$B$51:$S$67, 16, FALSE),"")</f>
        <v/>
      </c>
      <c r="L14" s="205">
        <f t="shared" ca="1" si="0"/>
        <v>240000</v>
      </c>
      <c r="M14" s="178">
        <f ca="1">IF(Table1[[#This Row],[Yrs to go]]&lt;yr_to_ret, 0, IF(Table1[[#This Row],[Yrs to go]]&gt;time,0,SUM(C14,F14,I14,J14)-Table1[[#This Row],[Yearly Income from other sources]]))</f>
        <v>2156711.4121691301</v>
      </c>
      <c r="N14" s="178">
        <f ca="1">PV(Retirement_Inputs!$B$16,Table1[[#This Row],[Yrs to go]],,-Table1[[#This Row],[Total Cash Required]])</f>
        <v>1255225.677801755</v>
      </c>
      <c r="W14" s="178">
        <f t="shared" ca="1" si="1"/>
        <v>180000</v>
      </c>
      <c r="X14" s="178">
        <f t="shared" ca="1" si="2"/>
        <v>60000</v>
      </c>
      <c r="Y14" s="178">
        <f t="shared" ca="1" si="3"/>
        <v>0</v>
      </c>
      <c r="Z14" s="178">
        <f t="shared" ca="1" si="4"/>
        <v>0</v>
      </c>
    </row>
    <row r="15" spans="1:26" x14ac:dyDescent="0.25">
      <c r="A15" s="47">
        <f t="shared" ca="1" si="6"/>
        <v>2028</v>
      </c>
      <c r="B15" s="47">
        <f t="shared" si="5"/>
        <v>9</v>
      </c>
      <c r="C15" s="178">
        <f>_xlfn.IFNA(HLOOKUP(B15, 'Staggered Goals(All) Planner'!$B$6:$J$13, 8, FALSE),"")</f>
        <v>1414768.6146000009</v>
      </c>
      <c r="D15" t="str">
        <f>_xlfn.IFNA(HLOOKUP(B15, 'Staggered Goals(All) Planner'!$B$6:$J$21, 16, FALSE),"")</f>
        <v>4th Year</v>
      </c>
      <c r="F15" s="178">
        <f>_xlfn.IFNA(HLOOKUP(B15, 'Staggered Goals(All) Planner'!$B$28:$J$43, 8, FALSE),"")</f>
        <v>2357947.6910000015</v>
      </c>
      <c r="G15" t="str">
        <f>_xlfn.IFNA(HLOOKUP(B15, 'Staggered Goals(All) Planner'!$B$28:$J$43, 16, FALSE),"")</f>
        <v>1st Year</v>
      </c>
      <c r="I15" s="205">
        <f>IF(I14&gt;0,I14*(1+Retirement_Inputs!$B$15),IF((B15&lt;Retirement_Inputs!$B$11),0,Retirement_Inputs!$B$12*12))</f>
        <v>1199402.7762626596</v>
      </c>
      <c r="J15" s="206">
        <f ca="1">SUMIF('Staggered Goals(All) Planner'!$B$51:$Z$51,YearlyCashFlow!B15,'Staggered Goals(All) Planner'!$B$58:$Z$58)</f>
        <v>0</v>
      </c>
      <c r="K15" s="101" t="str">
        <f ca="1">_xlfn.IFNA(HLOOKUP(B15,'Staggered Goals(All) Planner'!$B$51:$S$67, 16, FALSE),"")</f>
        <v/>
      </c>
      <c r="L15" s="205">
        <f t="shared" ca="1" si="0"/>
        <v>249000</v>
      </c>
      <c r="M15" s="178">
        <f ca="1">IF(Table1[[#This Row],[Yrs to go]]&lt;yr_to_ret, 0, IF(Table1[[#This Row],[Yrs to go]]&gt;time,0,SUM(C15,F15,I15,J15)-Table1[[#This Row],[Yearly Income from other sources]]))</f>
        <v>4723119.081862662</v>
      </c>
      <c r="N15" s="178">
        <f ca="1">PV(Retirement_Inputs!$B$16,Table1[[#This Row],[Yrs to go]],,-Table1[[#This Row],[Total Cash Required]])</f>
        <v>2569063.8388681626</v>
      </c>
      <c r="W15" s="178">
        <f t="shared" ca="1" si="1"/>
        <v>189000</v>
      </c>
      <c r="X15" s="178">
        <f t="shared" ca="1" si="2"/>
        <v>60000</v>
      </c>
      <c r="Y15" s="178">
        <f t="shared" ca="1" si="3"/>
        <v>0</v>
      </c>
      <c r="Z15" s="178">
        <f t="shared" ca="1" si="4"/>
        <v>0</v>
      </c>
    </row>
    <row r="16" spans="1:26" x14ac:dyDescent="0.25">
      <c r="A16" s="47">
        <f t="shared" ca="1" si="6"/>
        <v>2029</v>
      </c>
      <c r="B16" s="47">
        <f t="shared" si="5"/>
        <v>10</v>
      </c>
      <c r="C16" s="178" t="str">
        <f>_xlfn.IFNA(HLOOKUP(B16, 'Staggered Goals(All) Planner'!$B$6:$J$13, 8, FALSE),"")</f>
        <v/>
      </c>
      <c r="D16" t="str">
        <f>_xlfn.IFNA(HLOOKUP(B16, 'Staggered Goals(All) Planner'!$B$6:$J$21, 16, FALSE),"")</f>
        <v/>
      </c>
      <c r="F16" s="178">
        <f>_xlfn.IFNA(HLOOKUP(B16, 'Staggered Goals(All) Planner'!$B$28:$J$43, 8, FALSE),"")</f>
        <v>1556245.4760600012</v>
      </c>
      <c r="G16" t="str">
        <f>_xlfn.IFNA(HLOOKUP(B16, 'Staggered Goals(All) Planner'!$B$28:$J$43, 16, FALSE),"")</f>
        <v>2nd Year</v>
      </c>
      <c r="I16" s="205">
        <f>IF(I15&gt;0,I15*(1+Retirement_Inputs!$B$15),IF((B16&lt;Retirement_Inputs!$B$11),0,Retirement_Inputs!$B$12*12))</f>
        <v>1295354.9983636725</v>
      </c>
      <c r="J16" s="206">
        <f ca="1">SUMIF('Staggered Goals(All) Planner'!$B$51:$Z$51,YearlyCashFlow!B16,'Staggered Goals(All) Planner'!$B$58:$Z$58)</f>
        <v>-500000</v>
      </c>
      <c r="K16" s="101" t="str">
        <f ca="1">_xlfn.IFNA(HLOOKUP(B16,'Staggered Goals(All) Planner'!$B$51:$S$67, 16, FALSE),"")</f>
        <v>Endownment policy</v>
      </c>
      <c r="L16" s="205">
        <f t="shared" ca="1" si="0"/>
        <v>258450</v>
      </c>
      <c r="M16" s="178">
        <f ca="1">IF(Table1[[#This Row],[Yrs to go]]&lt;yr_to_ret, 0, IF(Table1[[#This Row],[Yrs to go]]&gt;time,0,SUM(C16,F16,I16,J16)-Table1[[#This Row],[Yearly Income from other sources]]))</f>
        <v>2093150.4744236739</v>
      </c>
      <c r="N16" s="178">
        <f ca="1">PV(Retirement_Inputs!$B$16,Table1[[#This Row],[Yrs to go]],,-Table1[[#This Row],[Total Cash Required]])</f>
        <v>1064051.5620047234</v>
      </c>
      <c r="W16" s="178">
        <f t="shared" ca="1" si="1"/>
        <v>198450</v>
      </c>
      <c r="X16" s="178">
        <f t="shared" ca="1" si="2"/>
        <v>60000</v>
      </c>
      <c r="Y16" s="178">
        <f t="shared" ca="1" si="3"/>
        <v>0</v>
      </c>
      <c r="Z16" s="178">
        <f t="shared" ca="1" si="4"/>
        <v>0</v>
      </c>
    </row>
    <row r="17" spans="1:26" x14ac:dyDescent="0.25">
      <c r="A17" s="47">
        <f t="shared" ca="1" si="6"/>
        <v>2030</v>
      </c>
      <c r="B17" s="47">
        <f t="shared" si="5"/>
        <v>11</v>
      </c>
      <c r="C17" s="178">
        <f>_xlfn.IFNA(HLOOKUP(B17, 'Staggered Goals(All) Planner'!$B$6:$J$13, 8, FALSE),"")</f>
        <v>4279675.0591650037</v>
      </c>
      <c r="D17" t="str">
        <f>_xlfn.IFNA(HLOOKUP(B17, 'Staggered Goals(All) Planner'!$B$6:$J$21, 16, FALSE),"")</f>
        <v>1st Year</v>
      </c>
      <c r="F17" s="178">
        <f>_xlfn.IFNA(HLOOKUP(B17, 'Staggered Goals(All) Planner'!$B$28:$J$43, 8, FALSE),"")</f>
        <v>1711870.0236660014</v>
      </c>
      <c r="G17" t="str">
        <f>_xlfn.IFNA(HLOOKUP(B17, 'Staggered Goals(All) Planner'!$B$28:$J$43, 16, FALSE),"")</f>
        <v>3rd Year</v>
      </c>
      <c r="I17" s="205">
        <f>IF(I16&gt;0,I16*(1+Retirement_Inputs!$B$15),IF((B17&lt;Retirement_Inputs!$B$11),0,Retirement_Inputs!$B$12*12))</f>
        <v>1398983.3982327664</v>
      </c>
      <c r="J17" s="206">
        <f ca="1">SUMIF('Staggered Goals(All) Planner'!$B$51:$Z$51,YearlyCashFlow!B17,'Staggered Goals(All) Planner'!$B$58:$Z$58)</f>
        <v>746024.58503679116</v>
      </c>
      <c r="K17" s="101" t="str">
        <f ca="1">_xlfn.IFNA(HLOOKUP(B17,'Staggered Goals(All) Planner'!$B$51:$S$67, 16, FALSE),"")</f>
        <v>Car</v>
      </c>
      <c r="L17" s="205">
        <f t="shared" ca="1" si="0"/>
        <v>316372.50000000006</v>
      </c>
      <c r="M17" s="178">
        <f ca="1">IF(Table1[[#This Row],[Yrs to go]]&lt;yr_to_ret, 0, IF(Table1[[#This Row],[Yrs to go]]&gt;time,0,SUM(C17,F17,I17,J17)-Table1[[#This Row],[Yearly Income from other sources]]))</f>
        <v>7820180.566100562</v>
      </c>
      <c r="N17" s="178">
        <f ca="1">PV(Retirement_Inputs!$B$16,Table1[[#This Row],[Yrs to go]],,-Table1[[#This Row],[Total Cash Required]])</f>
        <v>3715311.4534045765</v>
      </c>
      <c r="W17" s="178">
        <f t="shared" ca="1" si="1"/>
        <v>208372.50000000006</v>
      </c>
      <c r="X17" s="178">
        <f t="shared" ca="1" si="2"/>
        <v>60000</v>
      </c>
      <c r="Y17" s="178">
        <f t="shared" ca="1" si="3"/>
        <v>48000</v>
      </c>
      <c r="Z17" s="178">
        <f t="shared" ca="1" si="4"/>
        <v>0</v>
      </c>
    </row>
    <row r="18" spans="1:26" x14ac:dyDescent="0.25">
      <c r="A18" s="47">
        <f t="shared" ca="1" si="6"/>
        <v>2031</v>
      </c>
      <c r="B18" s="47">
        <f t="shared" si="5"/>
        <v>12</v>
      </c>
      <c r="C18" s="178">
        <f>_xlfn.IFNA(HLOOKUP(B18, 'Staggered Goals(All) Planner'!$B$6:$J$13, 8, FALSE),"")</f>
        <v>3138428.3767210026</v>
      </c>
      <c r="D18" t="str">
        <f>_xlfn.IFNA(HLOOKUP(B18, 'Staggered Goals(All) Planner'!$B$6:$J$21, 16, FALSE),"")</f>
        <v>2nd Year</v>
      </c>
      <c r="F18" s="178">
        <f>_xlfn.IFNA(HLOOKUP(B18, 'Staggered Goals(All) Planner'!$B$28:$J$43, 8, FALSE),"")</f>
        <v>1883057.0260326015</v>
      </c>
      <c r="G18" t="str">
        <f>_xlfn.IFNA(HLOOKUP(B18, 'Staggered Goals(All) Planner'!$B$28:$J$43, 16, FALSE),"")</f>
        <v>4th Year</v>
      </c>
      <c r="I18" s="205">
        <f>IF(I17&gt;0,I17*(1+Retirement_Inputs!$B$15),IF((B18&lt;Retirement_Inputs!$B$11),0,Retirement_Inputs!$B$12*12))</f>
        <v>1510902.070091388</v>
      </c>
      <c r="J18" s="206">
        <f ca="1">SUMIF('Staggered Goals(All) Planner'!$B$51:$Z$51,YearlyCashFlow!B18,'Staggered Goals(All) Planner'!$B$58:$Z$58)</f>
        <v>0</v>
      </c>
      <c r="K18" s="101" t="str">
        <f ca="1">_xlfn.IFNA(HLOOKUP(B18,'Staggered Goals(All) Planner'!$B$51:$S$67, 16, FALSE),"")</f>
        <v/>
      </c>
      <c r="L18" s="205">
        <f t="shared" ca="1" si="0"/>
        <v>326791.125</v>
      </c>
      <c r="M18" s="178">
        <f ca="1">IF(Table1[[#This Row],[Yrs to go]]&lt;yr_to_ret, 0, IF(Table1[[#This Row],[Yrs to go]]&gt;time,0,SUM(C18,F18,I18,J18)-Table1[[#This Row],[Yearly Income from other sources]]))</f>
        <v>6205596.3478449928</v>
      </c>
      <c r="N18" s="178">
        <f ca="1">PV(Retirement_Inputs!$B$16,Table1[[#This Row],[Yrs to go]],,-Table1[[#This Row],[Total Cash Required]])</f>
        <v>2755358.9926638068</v>
      </c>
      <c r="W18" s="178">
        <f t="shared" ca="1" si="1"/>
        <v>218791.125</v>
      </c>
      <c r="X18" s="178">
        <f t="shared" ca="1" si="2"/>
        <v>60000</v>
      </c>
      <c r="Y18" s="178">
        <f t="shared" ca="1" si="3"/>
        <v>48000</v>
      </c>
      <c r="Z18" s="178">
        <f t="shared" ca="1" si="4"/>
        <v>0</v>
      </c>
    </row>
    <row r="19" spans="1:26" x14ac:dyDescent="0.25">
      <c r="A19" s="47">
        <f t="shared" ca="1" si="6"/>
        <v>2032</v>
      </c>
      <c r="B19" s="47">
        <f t="shared" si="5"/>
        <v>13</v>
      </c>
      <c r="C19" s="178" t="str">
        <f>_xlfn.IFNA(HLOOKUP(B19, 'Staggered Goals(All) Planner'!$B$6:$J$13, 8, FALSE),"")</f>
        <v/>
      </c>
      <c r="D19" t="str">
        <f>_xlfn.IFNA(HLOOKUP(B19, 'Staggered Goals(All) Planner'!$B$6:$J$21, 16, FALSE),"")</f>
        <v/>
      </c>
      <c r="F19" s="178" t="str">
        <f>_xlfn.IFNA(HLOOKUP(B19, 'Staggered Goals(All) Planner'!$B$28:$J$43, 8, FALSE),"")</f>
        <v/>
      </c>
      <c r="G19" t="str">
        <f>_xlfn.IFNA(HLOOKUP(B19, 'Staggered Goals(All) Planner'!$B$28:$J$43, 16, FALSE),"")</f>
        <v/>
      </c>
      <c r="I19" s="205">
        <f>IF(I18&gt;0,I18*(1+Retirement_Inputs!$B$15),IF((B19&lt;Retirement_Inputs!$B$11),0,Retirement_Inputs!$B$12*12))</f>
        <v>1631774.235698699</v>
      </c>
      <c r="J19" s="206">
        <f ca="1">SUMIF('Staggered Goals(All) Planner'!$B$51:$Z$51,YearlyCashFlow!B19,'Staggered Goals(All) Planner'!$B$58:$Z$58)</f>
        <v>0</v>
      </c>
      <c r="K19" s="101" t="str">
        <f ca="1">_xlfn.IFNA(HLOOKUP(B19,'Staggered Goals(All) Planner'!$B$51:$S$67, 16, FALSE),"")</f>
        <v/>
      </c>
      <c r="L19" s="205">
        <f t="shared" ca="1" si="0"/>
        <v>337730.68125000002</v>
      </c>
      <c r="M19" s="178">
        <f ca="1">IF(Table1[[#This Row],[Yrs to go]]&lt;yr_to_ret, 0, IF(Table1[[#This Row],[Yrs to go]]&gt;time,0,SUM(C19,F19,I19,J19)-Table1[[#This Row],[Yearly Income from other sources]]))</f>
        <v>1294043.5544486991</v>
      </c>
      <c r="N19" s="178">
        <f ca="1">PV(Retirement_Inputs!$B$16,Table1[[#This Row],[Yrs to go]],,-Table1[[#This Row],[Total Cash Required]])</f>
        <v>536982.06911552523</v>
      </c>
      <c r="W19" s="178">
        <f t="shared" ca="1" si="1"/>
        <v>229730.68125000002</v>
      </c>
      <c r="X19" s="178">
        <f t="shared" ca="1" si="2"/>
        <v>60000</v>
      </c>
      <c r="Y19" s="178">
        <f t="shared" ca="1" si="3"/>
        <v>48000</v>
      </c>
      <c r="Z19" s="178">
        <f t="shared" ca="1" si="4"/>
        <v>0</v>
      </c>
    </row>
    <row r="20" spans="1:26" x14ac:dyDescent="0.25">
      <c r="A20" s="47">
        <f t="shared" ca="1" si="6"/>
        <v>2033</v>
      </c>
      <c r="B20" s="47">
        <f t="shared" si="5"/>
        <v>14</v>
      </c>
      <c r="C20" s="178" t="str">
        <f>_xlfn.IFNA(HLOOKUP(B20, 'Staggered Goals(All) Planner'!$B$6:$J$13, 8, FALSE),"")</f>
        <v/>
      </c>
      <c r="D20" t="str">
        <f>IF(Table1[[#This Row],[Yrs to go]]&lt;yr_to_ret,"",_xlfn.IFNA(HLOOKUP(B20, 'Staggered Goals(All) Planner'!$B$6:$J$21, 16, FALSE),""))</f>
        <v/>
      </c>
      <c r="F20" s="178">
        <f>_xlfn.IFNA(HLOOKUP(B20, 'Staggered Goals(All) Planner'!$B$28:$J$43, 8, FALSE),"")</f>
        <v>5696247.5037486209</v>
      </c>
      <c r="G20" t="str">
        <f>_xlfn.IFNA(HLOOKUP(B20, 'Staggered Goals(All) Planner'!$B$28:$J$43, 16, FALSE),"")</f>
        <v>1st Year</v>
      </c>
      <c r="I20" s="205">
        <f>IF(I19&gt;0,I19*(1+Retirement_Inputs!$B$15),IF((B20&lt;Retirement_Inputs!$B$11),0,Retirement_Inputs!$B$12*12))</f>
        <v>1762316.174554595</v>
      </c>
      <c r="J20" s="206">
        <f ca="1">SUMIF('Staggered Goals(All) Planner'!$B$51:$Z$51,YearlyCashFlow!B20,'Staggered Goals(All) Planner'!$B$58:$Z$58)</f>
        <v>0</v>
      </c>
      <c r="K20" s="101" t="str">
        <f ca="1">_xlfn.IFNA(HLOOKUP(B20,'Staggered Goals(All) Planner'!$B$51:$S$67, 16, FALSE),"")</f>
        <v/>
      </c>
      <c r="L20" s="205">
        <f t="shared" ca="1" si="0"/>
        <v>349217.21531250002</v>
      </c>
      <c r="M20" s="178">
        <f ca="1">IF(Table1[[#This Row],[Yrs to go]]&lt;yr_to_ret, 0, IF(Table1[[#This Row],[Yrs to go]]&gt;time,0,SUM(C20,F20,I20,J20)-Table1[[#This Row],[Yearly Income from other sources]]))</f>
        <v>7109346.4629907161</v>
      </c>
      <c r="N20" s="178">
        <f ca="1">PV(Retirement_Inputs!$B$16,Table1[[#This Row],[Yrs to go]],,-Table1[[#This Row],[Total Cash Required]])</f>
        <v>2757127.1307133366</v>
      </c>
      <c r="W20" s="178">
        <f t="shared" ca="1" si="1"/>
        <v>241217.21531249999</v>
      </c>
      <c r="X20" s="178">
        <f t="shared" ca="1" si="2"/>
        <v>60000</v>
      </c>
      <c r="Y20" s="178">
        <f t="shared" ca="1" si="3"/>
        <v>48000</v>
      </c>
      <c r="Z20" s="178">
        <f t="shared" ca="1" si="4"/>
        <v>0</v>
      </c>
    </row>
    <row r="21" spans="1:26" x14ac:dyDescent="0.25">
      <c r="A21" s="47">
        <f t="shared" ca="1" si="6"/>
        <v>2034</v>
      </c>
      <c r="B21" s="47">
        <f t="shared" si="5"/>
        <v>15</v>
      </c>
      <c r="C21" s="178">
        <f>_xlfn.IFNA(HLOOKUP(B21, 'Staggered Goals(All) Planner'!$B$6:$J$13, 8, FALSE),"")</f>
        <v>4157856.358822736</v>
      </c>
      <c r="D21" t="str">
        <f>IF(Table1[[#This Row],[Yrs to go]]&lt;yr_to_ret,"",_xlfn.IFNA(HLOOKUP(B21, 'Staggered Goals(All) Planner'!$B$6:$J$21, 16, FALSE),""))</f>
        <v>Marriage</v>
      </c>
      <c r="F21" s="178">
        <f>_xlfn.IFNA(HLOOKUP(B21, 'Staggered Goals(All) Planner'!$B$28:$J$43, 8, FALSE),"")</f>
        <v>4177248.1694156555</v>
      </c>
      <c r="G21" t="str">
        <f>_xlfn.IFNA(HLOOKUP(B21, 'Staggered Goals(All) Planner'!$B$28:$J$43, 16, FALSE),"")</f>
        <v>2nd Year</v>
      </c>
      <c r="I21" s="205">
        <f>IF(I20&gt;0,I20*(1+Retirement_Inputs!$B$15),IF((B21&lt;Retirement_Inputs!$B$11),0,Retirement_Inputs!$B$12*12))</f>
        <v>1903301.4685189629</v>
      </c>
      <c r="J21" s="206">
        <f ca="1">SUMIF('Staggered Goals(All) Planner'!$B$51:$Z$51,YearlyCashFlow!B21,'Staggered Goals(All) Planner'!$B$58:$Z$58)</f>
        <v>0</v>
      </c>
      <c r="K21" s="101" t="str">
        <f ca="1">_xlfn.IFNA(HLOOKUP(B21,'Staggered Goals(All) Planner'!$B$51:$S$67, 16, FALSE),"")</f>
        <v/>
      </c>
      <c r="L21" s="205">
        <f t="shared" ca="1" si="0"/>
        <v>361278.07607812504</v>
      </c>
      <c r="M21" s="178">
        <f ca="1">IF(Table1[[#This Row],[Yrs to go]]&lt;yr_to_ret, 0, IF(Table1[[#This Row],[Yrs to go]]&gt;time,0,SUM(C21,F21,I21,J21)-Table1[[#This Row],[Yearly Income from other sources]]))</f>
        <v>9877127.9206792302</v>
      </c>
      <c r="N21" s="178">
        <f ca="1">PV(Retirement_Inputs!$B$16,Table1[[#This Row],[Yrs to go]],,-Table1[[#This Row],[Total Cash Required]])</f>
        <v>3579925.7003486035</v>
      </c>
      <c r="W21" s="178">
        <f t="shared" ca="1" si="1"/>
        <v>253278.07607812504</v>
      </c>
      <c r="X21" s="178">
        <f t="shared" ca="1" si="2"/>
        <v>60000</v>
      </c>
      <c r="Y21" s="178">
        <f t="shared" ca="1" si="3"/>
        <v>48000</v>
      </c>
      <c r="Z21" s="178">
        <f t="shared" ca="1" si="4"/>
        <v>0</v>
      </c>
    </row>
    <row r="22" spans="1:26" x14ac:dyDescent="0.25">
      <c r="A22" s="47">
        <f t="shared" ca="1" si="6"/>
        <v>2035</v>
      </c>
      <c r="B22" s="47">
        <f t="shared" si="5"/>
        <v>16</v>
      </c>
      <c r="C22" s="178" t="str">
        <f>_xlfn.IFNA(HLOOKUP(B22, 'Staggered Goals(All) Planner'!$B$6:$J$13, 8, FALSE),"")</f>
        <v/>
      </c>
      <c r="D22" t="str">
        <f>IF(Table1[[#This Row],[Yrs to go]]&lt;yr_to_ret,"",_xlfn.IFNA(HLOOKUP(B22, 'Staggered Goals(All) Planner'!$B$6:$J$21, 16, FALSE),""))</f>
        <v/>
      </c>
      <c r="F22" s="178" t="str">
        <f>_xlfn.IFNA(HLOOKUP(B22, 'Staggered Goals(All) Planner'!$B$28:$J$43, 8, FALSE),"")</f>
        <v/>
      </c>
      <c r="G22" t="str">
        <f>_xlfn.IFNA(HLOOKUP(B22, 'Staggered Goals(All) Planner'!$B$28:$J$43, 16, FALSE),"")</f>
        <v/>
      </c>
      <c r="I22" s="205">
        <f>IF(I21&gt;0,I21*(1+Retirement_Inputs!$B$15),IF((B22&lt;Retirement_Inputs!$B$11),0,Retirement_Inputs!$B$12*12))</f>
        <v>2055565.58600048</v>
      </c>
      <c r="J22" s="206">
        <f ca="1">SUMIF('Staggered Goals(All) Planner'!$B$51:$Z$51,YearlyCashFlow!B22,'Staggered Goals(All) Planner'!$B$58:$Z$58)</f>
        <v>0</v>
      </c>
      <c r="K22" s="101" t="str">
        <f ca="1">_xlfn.IFNA(HLOOKUP(B22,'Staggered Goals(All) Planner'!$B$51:$S$67, 16, FALSE),"")</f>
        <v/>
      </c>
      <c r="L22" s="205">
        <f t="shared" ca="1" si="0"/>
        <v>433941.97988203121</v>
      </c>
      <c r="M22" s="178">
        <f ca="1">IF(Table1[[#This Row],[Yrs to go]]&lt;yr_to_ret, 0, IF(Table1[[#This Row],[Yrs to go]]&gt;time,0,SUM(C22,F22,I22,J22)-Table1[[#This Row],[Yearly Income from other sources]]))</f>
        <v>1621623.6061184488</v>
      </c>
      <c r="N22" s="178">
        <f ca="1">PV(Retirement_Inputs!$B$16,Table1[[#This Row],[Yrs to go]],,-Table1[[#This Row],[Total Cash Required]])</f>
        <v>549300.01999600139</v>
      </c>
      <c r="W22" s="178">
        <f t="shared" ca="1" si="1"/>
        <v>265941.97988203121</v>
      </c>
      <c r="X22" s="178">
        <f t="shared" ca="1" si="2"/>
        <v>60000</v>
      </c>
      <c r="Y22" s="178">
        <f t="shared" ca="1" si="3"/>
        <v>48000</v>
      </c>
      <c r="Z22" s="178">
        <f t="shared" ca="1" si="4"/>
        <v>60000</v>
      </c>
    </row>
    <row r="23" spans="1:26" x14ac:dyDescent="0.25">
      <c r="A23" s="47">
        <f t="shared" ca="1" si="6"/>
        <v>2036</v>
      </c>
      <c r="B23" s="47">
        <f t="shared" si="5"/>
        <v>17</v>
      </c>
      <c r="C23" s="178" t="str">
        <f>_xlfn.IFNA(HLOOKUP(B23, 'Staggered Goals(All) Planner'!$B$6:$J$13, 8, FALSE),"")</f>
        <v/>
      </c>
      <c r="D23" t="str">
        <f>IF(Table1[[#This Row],[Yrs to go]]&lt;yr_to_ret,"",_xlfn.IFNA(HLOOKUP(B23, 'Staggered Goals(All) Planner'!$B$6:$J$21, 16, FALSE),""))</f>
        <v/>
      </c>
      <c r="F23" s="178" t="str">
        <f>_xlfn.IFNA(HLOOKUP(B23, 'Staggered Goals(All) Planner'!$B$28:$J$43, 8, FALSE),"")</f>
        <v/>
      </c>
      <c r="G23" t="str">
        <f>_xlfn.IFNA(HLOOKUP(B23, 'Staggered Goals(All) Planner'!$B$28:$J$43, 16, FALSE),"")</f>
        <v/>
      </c>
      <c r="I23" s="205">
        <f>IF(I22&gt;0,I22*(1+Retirement_Inputs!$B$15),IF((B23&lt;Retirement_Inputs!$B$11),0,Retirement_Inputs!$B$12*12))</f>
        <v>2220010.8328805184</v>
      </c>
      <c r="J23" s="206">
        <f ca="1">SUMIF('Staggered Goals(All) Planner'!$B$51:$Z$51,YearlyCashFlow!B23,'Staggered Goals(All) Planner'!$B$58:$Z$58)</f>
        <v>1322278.1058174006</v>
      </c>
      <c r="K23" s="101" t="str">
        <f ca="1">_xlfn.IFNA(HLOOKUP(B23,'Staggered Goals(All) Planner'!$B$51:$S$67, 16, FALSE),"")</f>
        <v>Function</v>
      </c>
      <c r="L23" s="205">
        <f t="shared" ca="1" si="0"/>
        <v>447239.07887613284</v>
      </c>
      <c r="M23" s="178">
        <f ca="1">IF(Table1[[#This Row],[Yrs to go]]&lt;yr_to_ret, 0, IF(Table1[[#This Row],[Yrs to go]]&gt;time,0,SUM(C23,F23,I23,J23)-Table1[[#This Row],[Yearly Income from other sources]]))</f>
        <v>3095049.8598217862</v>
      </c>
      <c r="N23" s="178">
        <f ca="1">PV(Retirement_Inputs!$B$16,Table1[[#This Row],[Yrs to go]],,-Table1[[#This Row],[Total Cash Required]])</f>
        <v>979813.52282911155</v>
      </c>
      <c r="W23" s="178">
        <f t="shared" ca="1" si="1"/>
        <v>279239.07887613284</v>
      </c>
      <c r="X23" s="178">
        <f t="shared" ca="1" si="2"/>
        <v>60000</v>
      </c>
      <c r="Y23" s="178">
        <f t="shared" ca="1" si="3"/>
        <v>48000</v>
      </c>
      <c r="Z23" s="178">
        <f t="shared" ca="1" si="4"/>
        <v>60000</v>
      </c>
    </row>
    <row r="24" spans="1:26" x14ac:dyDescent="0.25">
      <c r="A24" s="47">
        <f t="shared" ca="1" si="6"/>
        <v>2037</v>
      </c>
      <c r="B24" s="47">
        <f t="shared" si="5"/>
        <v>18</v>
      </c>
      <c r="C24" s="178" t="str">
        <f>_xlfn.IFNA(HLOOKUP(B24, 'Staggered Goals(All) Planner'!$B$6:$J$13, 8, FALSE),"")</f>
        <v/>
      </c>
      <c r="D24" t="str">
        <f>IF(Table1[[#This Row],[Yrs to go]]&lt;yr_to_ret,"",_xlfn.IFNA(HLOOKUP(B24, 'Staggered Goals(All) Planner'!$B$6:$J$21, 16, FALSE),""))</f>
        <v/>
      </c>
      <c r="F24" s="178" t="str">
        <f>_xlfn.IFNA(HLOOKUP(B24, 'Staggered Goals(All) Planner'!$B$28:$J$43, 8, FALSE),"")</f>
        <v/>
      </c>
      <c r="G24" t="str">
        <f>_xlfn.IFNA(HLOOKUP(B24, 'Staggered Goals(All) Planner'!$B$28:$J$43, 16, FALSE),"")</f>
        <v/>
      </c>
      <c r="I24" s="205">
        <f>IF(I23&gt;0,I23*(1+Retirement_Inputs!$B$15),IF((B24&lt;Retirement_Inputs!$B$11),0,Retirement_Inputs!$B$12*12))</f>
        <v>2397611.6995109599</v>
      </c>
      <c r="J24" s="206">
        <f ca="1">SUMIF('Staggered Goals(All) Planner'!$B$51:$Z$51,YearlyCashFlow!B24,'Staggered Goals(All) Planner'!$B$58:$Z$58)</f>
        <v>1361946.4489919227</v>
      </c>
      <c r="K24" s="101" t="str">
        <f ca="1">_xlfn.IFNA(HLOOKUP(B24,'Staggered Goals(All) Planner'!$B$51:$S$67, 16, FALSE),"")</f>
        <v>Car</v>
      </c>
      <c r="L24" s="205">
        <f t="shared" ca="1" si="0"/>
        <v>461201.03281993949</v>
      </c>
      <c r="M24" s="178">
        <f ca="1">IF(Table1[[#This Row],[Yrs to go]]&lt;yr_to_ret, 0, IF(Table1[[#This Row],[Yrs to go]]&gt;time,0,SUM(C24,F24,I24,J24)-Table1[[#This Row],[Yearly Income from other sources]]))</f>
        <v>3298357.1156829433</v>
      </c>
      <c r="N24" s="178">
        <f ca="1">PV(Retirement_Inputs!$B$16,Table1[[#This Row],[Yrs to go]],,-Table1[[#This Row],[Total Cash Required]])</f>
        <v>975864.8536731666</v>
      </c>
      <c r="W24" s="178">
        <f t="shared" ca="1" si="1"/>
        <v>293201.03281993949</v>
      </c>
      <c r="X24" s="178">
        <f t="shared" ca="1" si="2"/>
        <v>60000</v>
      </c>
      <c r="Y24" s="178">
        <f t="shared" ca="1" si="3"/>
        <v>48000</v>
      </c>
      <c r="Z24" s="178">
        <f t="shared" ca="1" si="4"/>
        <v>60000</v>
      </c>
    </row>
    <row r="25" spans="1:26" x14ac:dyDescent="0.25">
      <c r="A25" s="47">
        <f t="shared" ca="1" si="6"/>
        <v>2038</v>
      </c>
      <c r="B25" s="47">
        <f t="shared" si="5"/>
        <v>19</v>
      </c>
      <c r="C25" s="178" t="str">
        <f>_xlfn.IFNA(HLOOKUP(B25, 'Staggered Goals(All) Planner'!$B$6:$J$13, 8, FALSE),"")</f>
        <v/>
      </c>
      <c r="D25" t="str">
        <f>IF(Table1[[#This Row],[Yrs to go]]&lt;yr_to_ret,"",_xlfn.IFNA(HLOOKUP(B25, 'Staggered Goals(All) Planner'!$B$6:$J$21, 16, FALSE),""))</f>
        <v/>
      </c>
      <c r="F25" s="178">
        <f>_xlfn.IFNA(HLOOKUP(B25, 'Staggered Goals(All) Planner'!$B$28:$J$43, 8, FALSE),"")</f>
        <v>5053900.390751278</v>
      </c>
      <c r="G25" t="str">
        <f>_xlfn.IFNA(HLOOKUP(B25, 'Staggered Goals(All) Planner'!$B$28:$J$43, 16, FALSE),"")</f>
        <v>Marriage</v>
      </c>
      <c r="I25" s="205">
        <f>IF(I24&gt;0,I24*(1+Retirement_Inputs!$B$15),IF((B25&lt;Retirement_Inputs!$B$11),0,Retirement_Inputs!$B$12*12))</f>
        <v>2589420.6354718367</v>
      </c>
      <c r="J25" s="206">
        <f ca="1">SUMIF('Staggered Goals(All) Planner'!$B$51:$Z$51,YearlyCashFlow!B25,'Staggered Goals(All) Planner'!$B$58:$Z$58)</f>
        <v>0</v>
      </c>
      <c r="K25" s="101" t="str">
        <f ca="1">_xlfn.IFNA(HLOOKUP(B25,'Staggered Goals(All) Planner'!$B$51:$S$67, 16, FALSE),"")</f>
        <v/>
      </c>
      <c r="L25" s="205">
        <f t="shared" ca="1" si="0"/>
        <v>475861.08446093649</v>
      </c>
      <c r="M25" s="178">
        <f ca="1">IF(Table1[[#This Row],[Yrs to go]]&lt;yr_to_ret, 0, IF(Table1[[#This Row],[Yrs to go]]&gt;time,0,SUM(C25,F25,I25,J25)-Table1[[#This Row],[Yearly Income from other sources]]))</f>
        <v>7167459.9417621782</v>
      </c>
      <c r="N25" s="178">
        <f ca="1">PV(Retirement_Inputs!$B$16,Table1[[#This Row],[Yrs to go]],,-Table1[[#This Row],[Total Cash Required]])</f>
        <v>1981862.4004186285</v>
      </c>
      <c r="W25" s="178">
        <f t="shared" ca="1" si="1"/>
        <v>307861.08446093649</v>
      </c>
      <c r="X25" s="178">
        <f t="shared" ca="1" si="2"/>
        <v>60000</v>
      </c>
      <c r="Y25" s="178">
        <f t="shared" ca="1" si="3"/>
        <v>48000</v>
      </c>
      <c r="Z25" s="178">
        <f t="shared" ca="1" si="4"/>
        <v>60000</v>
      </c>
    </row>
    <row r="26" spans="1:26" x14ac:dyDescent="0.25">
      <c r="A26" s="47">
        <f t="shared" ca="1" si="6"/>
        <v>2039</v>
      </c>
      <c r="B26" s="47">
        <f t="shared" si="5"/>
        <v>20</v>
      </c>
      <c r="C26" s="178" t="str">
        <f>_xlfn.IFNA(HLOOKUP(B26, 'Staggered Goals(All) Planner'!$B$6:$J$13, 8, FALSE),"")</f>
        <v/>
      </c>
      <c r="D26" t="str">
        <f>IF(Table1[[#This Row],[Yrs to go]]&lt;yr_to_ret,"",_xlfn.IFNA(HLOOKUP(B26, 'Staggered Goals(All) Planner'!$B$6:$J$21, 16, FALSE),""))</f>
        <v/>
      </c>
      <c r="F26" s="178" t="str">
        <f>_xlfn.IFNA(HLOOKUP(B26, 'Staggered Goals(All) Planner'!$B$28:$J$43, 8, FALSE),"")</f>
        <v/>
      </c>
      <c r="I26" s="205">
        <f>IF(I25&gt;0,I25*(1+Retirement_Inputs!$B$15),IF((B26&lt;Retirement_Inputs!$B$11),0,Retirement_Inputs!$B$12*12))</f>
        <v>2796574.2863095836</v>
      </c>
      <c r="J26" s="206">
        <f ca="1">SUMIF('Staggered Goals(All) Planner'!$B$51:$Z$51,YearlyCashFlow!B26,'Staggered Goals(All) Planner'!$B$58:$Z$58)</f>
        <v>0</v>
      </c>
      <c r="K26" s="101" t="str">
        <f ca="1">_xlfn.IFNA(HLOOKUP(B26,'Staggered Goals(All) Planner'!$B$51:$S$67, 16, FALSE),"")</f>
        <v/>
      </c>
      <c r="L26" s="205">
        <f t="shared" ca="1" si="0"/>
        <v>491254.13868398324</v>
      </c>
      <c r="M26" s="178">
        <f ca="1">IF(Table1[[#This Row],[Yrs to go]]&lt;yr_to_ret, 0, IF(Table1[[#This Row],[Yrs to go]]&gt;time,0,SUM(C26,F26,I26,J26)-Table1[[#This Row],[Yearly Income from other sources]]))</f>
        <v>2305320.1476256005</v>
      </c>
      <c r="N26" s="178">
        <f ca="1">PV(Retirement_Inputs!$B$16,Table1[[#This Row],[Yrs to go]],,-Table1[[#This Row],[Total Cash Required]])</f>
        <v>595738.53371612821</v>
      </c>
      <c r="W26" s="178">
        <f t="shared" ca="1" si="1"/>
        <v>323254.13868398324</v>
      </c>
      <c r="X26" s="178">
        <f t="shared" ca="1" si="2"/>
        <v>60000</v>
      </c>
      <c r="Y26" s="178">
        <f t="shared" ca="1" si="3"/>
        <v>48000</v>
      </c>
      <c r="Z26" s="178">
        <f t="shared" ca="1" si="4"/>
        <v>60000</v>
      </c>
    </row>
    <row r="27" spans="1:26" x14ac:dyDescent="0.25">
      <c r="A27" s="47">
        <f t="shared" ca="1" si="6"/>
        <v>2040</v>
      </c>
      <c r="B27" s="47">
        <f t="shared" si="5"/>
        <v>21</v>
      </c>
      <c r="C27" s="178" t="str">
        <f>_xlfn.IFNA(HLOOKUP(B27, 'Staggered Goals(All) Planner'!$B$6:$J$13, 8, FALSE),"")</f>
        <v/>
      </c>
      <c r="D27" t="str">
        <f>IF(Table1[[#This Row],[Yrs to go]]&lt;yr_to_ret,"",_xlfn.IFNA(HLOOKUP(B27, 'Staggered Goals(All) Planner'!$B$6:$J$21, 16, FALSE),""))</f>
        <v/>
      </c>
      <c r="F27" s="178" t="str">
        <f>_xlfn.IFNA(HLOOKUP(B27, 'Staggered Goals(All) Planner'!$B$28:$J$43, 8, FALSE),"")</f>
        <v/>
      </c>
      <c r="I27" s="205">
        <f>IF(I26&gt;0,I26*(1+Retirement_Inputs!$B$15),IF((B27&lt;Retirement_Inputs!$B$11),0,Retirement_Inputs!$B$12*12))</f>
        <v>3020300.2292143507</v>
      </c>
      <c r="J27" s="206">
        <f ca="1">SUMIF('Staggered Goals(All) Planner'!$B$51:$Z$51,YearlyCashFlow!B27,'Staggered Goals(All) Planner'!$B$58:$Z$58)</f>
        <v>930147.28585474775</v>
      </c>
      <c r="K27" s="101" t="str">
        <f ca="1">_xlfn.IFNA(HLOOKUP(B27,'Staggered Goals(All) Planner'!$B$51:$S$67, 16, FALSE),"")</f>
        <v>Vacation</v>
      </c>
      <c r="L27" s="205">
        <f t="shared" ca="1" si="0"/>
        <v>507416.84561818244</v>
      </c>
      <c r="M27" s="178">
        <f ca="1">IF(Table1[[#This Row],[Yrs to go]]&lt;yr_to_ret, 0, IF(Table1[[#This Row],[Yrs to go]]&gt;time,0,SUM(C27,F27,I27,J27)-Table1[[#This Row],[Yearly Income from other sources]]))</f>
        <v>3443030.6694509159</v>
      </c>
      <c r="N27" s="178">
        <f ca="1">PV(Retirement_Inputs!$B$16,Table1[[#This Row],[Yrs to go]],,-Table1[[#This Row],[Total Cash Required]])</f>
        <v>831536.96472623595</v>
      </c>
      <c r="W27" s="178">
        <f t="shared" ca="1" si="1"/>
        <v>339416.84561818244</v>
      </c>
      <c r="X27" s="178">
        <f t="shared" ca="1" si="2"/>
        <v>60000</v>
      </c>
      <c r="Y27" s="178">
        <f t="shared" ca="1" si="3"/>
        <v>48000</v>
      </c>
      <c r="Z27" s="178">
        <f t="shared" ca="1" si="4"/>
        <v>60000</v>
      </c>
    </row>
    <row r="28" spans="1:26" x14ac:dyDescent="0.25">
      <c r="A28" s="47">
        <f t="shared" ca="1" si="6"/>
        <v>2041</v>
      </c>
      <c r="B28" s="47">
        <f t="shared" si="5"/>
        <v>22</v>
      </c>
      <c r="C28" s="178" t="str">
        <f>_xlfn.IFNA(HLOOKUP(B28, 'Staggered Goals(All) Planner'!$B$6:$J$13, 8, FALSE),"")</f>
        <v/>
      </c>
      <c r="D28" t="str">
        <f>IF(Table1[[#This Row],[Yrs to go]]&lt;yr_to_ret,"",_xlfn.IFNA(HLOOKUP(B28, 'Staggered Goals(All) Planner'!$B$6:$J$21, 16, FALSE),""))</f>
        <v/>
      </c>
      <c r="F28" s="178" t="str">
        <f>_xlfn.IFNA(HLOOKUP(B28, 'Staggered Goals(All) Planner'!$B$28:$J$43, 8, FALSE),"")</f>
        <v/>
      </c>
      <c r="I28" s="205">
        <f>IF(I27&gt;0,I27*(1+Retirement_Inputs!$B$15),IF((B28&lt;Retirement_Inputs!$B$11),0,Retirement_Inputs!$B$12*12))</f>
        <v>3261924.2475514989</v>
      </c>
      <c r="J28" s="206">
        <f ca="1">SUMIF('Staggered Goals(All) Planner'!$B$51:$Z$51,YearlyCashFlow!B28,'Staggered Goals(All) Planner'!$B$58:$Z$58)</f>
        <v>0</v>
      </c>
      <c r="K28" s="101" t="str">
        <f ca="1">_xlfn.IFNA(HLOOKUP(B28,'Staggered Goals(All) Planner'!$B$51:$S$67, 16, FALSE),"")</f>
        <v/>
      </c>
      <c r="L28" s="205">
        <f t="shared" ca="1" si="0"/>
        <v>524387.68789909151</v>
      </c>
      <c r="M28" s="178">
        <f ca="1">IF(Table1[[#This Row],[Yrs to go]]&lt;yr_to_ret, 0, IF(Table1[[#This Row],[Yrs to go]]&gt;time,0,SUM(C28,F28,I28,J28)-Table1[[#This Row],[Yearly Income from other sources]]))</f>
        <v>2737536.5596524077</v>
      </c>
      <c r="N28" s="178">
        <f ca="1">PV(Retirement_Inputs!$B$16,Table1[[#This Row],[Yrs to go]],,-Table1[[#This Row],[Total Cash Required]])</f>
        <v>617898.04167340719</v>
      </c>
      <c r="W28" s="178">
        <f t="shared" ca="1" si="1"/>
        <v>356387.68789909151</v>
      </c>
      <c r="X28" s="178">
        <f t="shared" ca="1" si="2"/>
        <v>60000</v>
      </c>
      <c r="Y28" s="178">
        <f t="shared" ca="1" si="3"/>
        <v>48000</v>
      </c>
      <c r="Z28" s="178">
        <f t="shared" ca="1" si="4"/>
        <v>60000</v>
      </c>
    </row>
    <row r="29" spans="1:26" x14ac:dyDescent="0.25">
      <c r="A29" s="47">
        <f t="shared" ca="1" si="6"/>
        <v>2042</v>
      </c>
      <c r="B29" s="47">
        <f t="shared" si="5"/>
        <v>23</v>
      </c>
      <c r="C29" s="178" t="str">
        <f>_xlfn.IFNA(HLOOKUP(B29, 'Staggered Goals(All) Planner'!$B$6:$J$13, 8, FALSE),"")</f>
        <v/>
      </c>
      <c r="D29" t="str">
        <f>IF(Table1[[#This Row],[Yrs to go]]&lt;yr_to_ret,"",_xlfn.IFNA(HLOOKUP(B29, 'Staggered Goals(All) Planner'!$B$6:$J$21, 16, FALSE),""))</f>
        <v/>
      </c>
      <c r="F29" s="178" t="str">
        <f>_xlfn.IFNA(HLOOKUP(B29, 'Staggered Goals(All) Planner'!$B$28:$J$43, 8, FALSE),"")</f>
        <v/>
      </c>
      <c r="I29" s="205">
        <f>IF(I28&gt;0,I28*(1+Retirement_Inputs!$B$15),IF((B29&lt;Retirement_Inputs!$B$11),0,Retirement_Inputs!$B$12*12))</f>
        <v>3522878.1873556189</v>
      </c>
      <c r="J29" s="206">
        <f ca="1">SUMIF('Staggered Goals(All) Planner'!$B$51:$Z$51,YearlyCashFlow!B29,'Staggered Goals(All) Planner'!$B$58:$Z$58)</f>
        <v>0</v>
      </c>
      <c r="K29" s="101" t="str">
        <f ca="1">_xlfn.IFNA(HLOOKUP(B29,'Staggered Goals(All) Planner'!$B$51:$S$67, 16, FALSE),"")</f>
        <v/>
      </c>
      <c r="L29" s="205">
        <f t="shared" ca="1" si="0"/>
        <v>542207.07229404617</v>
      </c>
      <c r="M29" s="178">
        <f ca="1">IF(Table1[[#This Row],[Yrs to go]]&lt;yr_to_ret, 0, IF(Table1[[#This Row],[Yrs to go]]&gt;time,0,SUM(C29,F29,I29,J29)-Table1[[#This Row],[Yearly Income from other sources]]))</f>
        <v>2980671.1150615728</v>
      </c>
      <c r="N29" s="178">
        <f ca="1">PV(Retirement_Inputs!$B$16,Table1[[#This Row],[Yrs to go]],,-Table1[[#This Row],[Total Cash Required]])</f>
        <v>628763.2819993369</v>
      </c>
      <c r="W29" s="178">
        <f t="shared" ca="1" si="1"/>
        <v>374207.07229404623</v>
      </c>
      <c r="X29" s="178">
        <f t="shared" ca="1" si="2"/>
        <v>60000</v>
      </c>
      <c r="Y29" s="178">
        <f t="shared" ca="1" si="3"/>
        <v>48000</v>
      </c>
      <c r="Z29" s="178">
        <f t="shared" ca="1" si="4"/>
        <v>60000</v>
      </c>
    </row>
    <row r="30" spans="1:26" x14ac:dyDescent="0.25">
      <c r="A30" s="47">
        <f t="shared" ca="1" si="6"/>
        <v>2043</v>
      </c>
      <c r="B30" s="47">
        <f t="shared" si="5"/>
        <v>24</v>
      </c>
      <c r="C30" s="178" t="str">
        <f>_xlfn.IFNA(HLOOKUP(B30, 'Staggered Goals(All) Planner'!$B$6:$J$13, 8, FALSE),"")</f>
        <v/>
      </c>
      <c r="D30" t="str">
        <f>IF(Table1[[#This Row],[Yrs to go]]&lt;yr_to_ret,"",_xlfn.IFNA(HLOOKUP(B30, 'Staggered Goals(All) Planner'!$B$6:$J$21, 16, FALSE),""))</f>
        <v/>
      </c>
      <c r="F30" s="178" t="str">
        <f>_xlfn.IFNA(HLOOKUP(B30, 'Staggered Goals(All) Planner'!$B$28:$J$43, 8, FALSE),"")</f>
        <v/>
      </c>
      <c r="I30" s="205">
        <f>IF(I29&gt;0,I29*(1+Retirement_Inputs!$B$15),IF((B30&lt;Retirement_Inputs!$B$11),0,Retirement_Inputs!$B$12*12))</f>
        <v>3804708.4423440685</v>
      </c>
      <c r="J30" s="206">
        <f ca="1">SUMIF('Staggered Goals(All) Planner'!$B$51:$Z$51,YearlyCashFlow!B30,'Staggered Goals(All) Planner'!$B$58:$Z$58)</f>
        <v>0</v>
      </c>
      <c r="K30" s="101" t="str">
        <f ca="1">_xlfn.IFNA(HLOOKUP(B30,'Staggered Goals(All) Planner'!$B$51:$S$67, 16, FALSE),"")</f>
        <v/>
      </c>
      <c r="L30" s="205">
        <f t="shared" ca="1" si="0"/>
        <v>560917.42590874853</v>
      </c>
      <c r="M30" s="178">
        <f ca="1">IF(Table1[[#This Row],[Yrs to go]]&lt;yr_to_ret, 0, IF(Table1[[#This Row],[Yrs to go]]&gt;time,0,SUM(C30,F30,I30,J30)-Table1[[#This Row],[Yearly Income from other sources]]))</f>
        <v>3243791.01643532</v>
      </c>
      <c r="N30" s="178">
        <f ca="1">PV(Retirement_Inputs!$B$16,Table1[[#This Row],[Yrs to go]],,-Table1[[#This Row],[Total Cash Required]])</f>
        <v>639502.43471049389</v>
      </c>
      <c r="W30" s="178">
        <f t="shared" ca="1" si="1"/>
        <v>392917.42590874853</v>
      </c>
      <c r="X30" s="178">
        <f t="shared" ca="1" si="2"/>
        <v>60000</v>
      </c>
      <c r="Y30" s="178">
        <f t="shared" ca="1" si="3"/>
        <v>48000</v>
      </c>
      <c r="Z30" s="178">
        <f t="shared" ca="1" si="4"/>
        <v>60000</v>
      </c>
    </row>
    <row r="31" spans="1:26" x14ac:dyDescent="0.25">
      <c r="A31" s="47">
        <f t="shared" ca="1" si="6"/>
        <v>2044</v>
      </c>
      <c r="B31" s="47">
        <f t="shared" si="5"/>
        <v>25</v>
      </c>
      <c r="C31" s="178" t="str">
        <f>_xlfn.IFNA(HLOOKUP(B31, 'Staggered Goals(All) Planner'!$B$6:$J$13, 8, FALSE),"")</f>
        <v/>
      </c>
      <c r="D31" t="str">
        <f>IF(Table1[[#This Row],[Yrs to go]]&lt;yr_to_ret,"",_xlfn.IFNA(HLOOKUP(B31, 'Staggered Goals(All) Planner'!$B$6:$J$21, 16, FALSE),""))</f>
        <v/>
      </c>
      <c r="F31" s="178" t="str">
        <f>_xlfn.IFNA(HLOOKUP(B31, 'Staggered Goals(All) Planner'!$B$28:$J$43, 8, FALSE),"")</f>
        <v/>
      </c>
      <c r="I31" s="205">
        <f>IF(I30&gt;0,I30*(1+Retirement_Inputs!$B$15),IF((B31&lt;Retirement_Inputs!$B$11),0,Retirement_Inputs!$B$12*12))</f>
        <v>4109085.1177315945</v>
      </c>
      <c r="J31" s="206">
        <f ca="1">SUMIF('Staggered Goals(All) Planner'!$B$51:$Z$51,YearlyCashFlow!B31,'Staggered Goals(All) Planner'!$B$58:$Z$58)</f>
        <v>0</v>
      </c>
      <c r="K31" s="101" t="str">
        <f ca="1">_xlfn.IFNA(HLOOKUP(B31,'Staggered Goals(All) Planner'!$B$51:$S$67, 16, FALSE),"")</f>
        <v/>
      </c>
      <c r="L31" s="205">
        <f t="shared" ca="1" si="0"/>
        <v>580563.29720418598</v>
      </c>
      <c r="M31" s="178">
        <f ca="1">IF(Table1[[#This Row],[Yrs to go]]&lt;yr_to_ret, 0, IF(Table1[[#This Row],[Yrs to go]]&gt;time,0,SUM(C31,F31,I31,J31)-Table1[[#This Row],[Yearly Income from other sources]]))</f>
        <v>3528521.8205274083</v>
      </c>
      <c r="N31" s="178">
        <f ca="1">PV(Retirement_Inputs!$B$16,Table1[[#This Row],[Yrs to go]],,-Table1[[#This Row],[Total Cash Required]])</f>
        <v>650127.24330145039</v>
      </c>
      <c r="W31" s="178">
        <f t="shared" ca="1" si="1"/>
        <v>412563.29720418598</v>
      </c>
      <c r="X31" s="178">
        <f t="shared" ca="1" si="2"/>
        <v>60000</v>
      </c>
      <c r="Y31" s="178">
        <f t="shared" ca="1" si="3"/>
        <v>48000</v>
      </c>
      <c r="Z31" s="178">
        <f t="shared" ca="1" si="4"/>
        <v>60000</v>
      </c>
    </row>
    <row r="32" spans="1:26" x14ac:dyDescent="0.25">
      <c r="A32" s="47">
        <f t="shared" ca="1" si="6"/>
        <v>2045</v>
      </c>
      <c r="B32" s="47">
        <f t="shared" si="5"/>
        <v>26</v>
      </c>
      <c r="C32" s="178" t="str">
        <f>_xlfn.IFNA(HLOOKUP(B32, 'Staggered Goals(All) Planner'!$B$6:$J$13, 8, FALSE),"")</f>
        <v/>
      </c>
      <c r="D32" t="str">
        <f>IF(Table1[[#This Row],[Yrs to go]]&lt;yr_to_ret,"",_xlfn.IFNA(HLOOKUP(B32, 'Staggered Goals(All) Planner'!$B$6:$J$21, 16, FALSE),""))</f>
        <v/>
      </c>
      <c r="F32" s="178" t="str">
        <f>_xlfn.IFNA(HLOOKUP(B32, 'Staggered Goals(All) Planner'!$B$28:$J$43, 8, FALSE),"")</f>
        <v/>
      </c>
      <c r="I32" s="205">
        <f>IF(I31&gt;0,I31*(1+Retirement_Inputs!$B$15),IF((B32&lt;Retirement_Inputs!$B$11),0,Retirement_Inputs!$B$12*12))</f>
        <v>4437811.9271501219</v>
      </c>
      <c r="J32" s="206">
        <f ca="1">SUMIF('Staggered Goals(All) Planner'!$B$51:$Z$51,YearlyCashFlow!B32,'Staggered Goals(All) Planner'!$B$58:$Z$58)</f>
        <v>0</v>
      </c>
      <c r="K32" s="101" t="str">
        <f ca="1">_xlfn.IFNA(HLOOKUP(B32,'Staggered Goals(All) Planner'!$B$51:$S$67, 16, FALSE),"")</f>
        <v/>
      </c>
      <c r="L32" s="205">
        <f t="shared" ca="1" si="0"/>
        <v>601191.46206439519</v>
      </c>
      <c r="M32" s="178">
        <f ca="1">IF(Table1[[#This Row],[Yrs to go]]&lt;yr_to_ret, 0, IF(Table1[[#This Row],[Yrs to go]]&gt;time,0,SUM(C32,F32,I32,J32)-Table1[[#This Row],[Yearly Income from other sources]]))</f>
        <v>3836620.4650857267</v>
      </c>
      <c r="N32" s="178">
        <f ca="1">PV(Retirement_Inputs!$B$16,Table1[[#This Row],[Yrs to go]],,-Table1[[#This Row],[Total Cash Required]])</f>
        <v>660648.75248321262</v>
      </c>
      <c r="W32" s="178">
        <f t="shared" ca="1" si="1"/>
        <v>433191.46206439519</v>
      </c>
      <c r="X32" s="178">
        <f t="shared" ca="1" si="2"/>
        <v>60000</v>
      </c>
      <c r="Y32" s="178">
        <f t="shared" ca="1" si="3"/>
        <v>48000</v>
      </c>
      <c r="Z32" s="178">
        <f t="shared" ca="1" si="4"/>
        <v>60000</v>
      </c>
    </row>
    <row r="33" spans="1:26" x14ac:dyDescent="0.25">
      <c r="A33" s="47">
        <f t="shared" ca="1" si="6"/>
        <v>2046</v>
      </c>
      <c r="B33" s="47">
        <f t="shared" si="5"/>
        <v>27</v>
      </c>
      <c r="C33" s="178" t="str">
        <f>_xlfn.IFNA(HLOOKUP(B33, 'Staggered Goals(All) Planner'!$B$6:$J$13, 8, FALSE),"")</f>
        <v/>
      </c>
      <c r="D33" t="str">
        <f>IF(Table1[[#This Row],[Yrs to go]]&lt;yr_to_ret,"",_xlfn.IFNA(HLOOKUP(B33, 'Staggered Goals(All) Planner'!$B$6:$J$21, 16, FALSE),""))</f>
        <v/>
      </c>
      <c r="F33" s="178" t="str">
        <f>_xlfn.IFNA(HLOOKUP(B33, 'Staggered Goals(All) Planner'!$B$28:$J$43, 8, FALSE),"")</f>
        <v/>
      </c>
      <c r="I33" s="205">
        <f>IF(I32&gt;0,I32*(1+Retirement_Inputs!$B$15),IF((B33&lt;Retirement_Inputs!$B$11),0,Retirement_Inputs!$B$12*12))</f>
        <v>4792836.8813221315</v>
      </c>
      <c r="J33" s="206">
        <f ca="1">SUMIF('Staggered Goals(All) Planner'!$B$51:$Z$51,YearlyCashFlow!B33,'Staggered Goals(All) Planner'!$B$58:$Z$58)</f>
        <v>0</v>
      </c>
      <c r="K33" s="101" t="str">
        <f ca="1">_xlfn.IFNA(HLOOKUP(B33,'Staggered Goals(All) Planner'!$B$51:$S$67, 16, FALSE),"")</f>
        <v/>
      </c>
      <c r="L33" s="205">
        <f t="shared" ca="1" si="0"/>
        <v>622851.03516761493</v>
      </c>
      <c r="M33" s="178">
        <f ca="1">IF(Table1[[#This Row],[Yrs to go]]&lt;yr_to_ret, 0, IF(Table1[[#This Row],[Yrs to go]]&gt;time,0,SUM(C33,F33,I33,J33)-Table1[[#This Row],[Yearly Income from other sources]]))</f>
        <v>4169985.8461545166</v>
      </c>
      <c r="N33" s="178">
        <f ca="1">PV(Retirement_Inputs!$B$16,Table1[[#This Row],[Yrs to go]],,-Table1[[#This Row],[Total Cash Required]])</f>
        <v>671077.35385915788</v>
      </c>
      <c r="W33" s="178">
        <f t="shared" ca="1" si="1"/>
        <v>454851.03516761499</v>
      </c>
      <c r="X33" s="178">
        <f t="shared" ca="1" si="2"/>
        <v>60000</v>
      </c>
      <c r="Y33" s="178">
        <f t="shared" ca="1" si="3"/>
        <v>48000</v>
      </c>
      <c r="Z33" s="178">
        <f t="shared" ca="1" si="4"/>
        <v>60000</v>
      </c>
    </row>
    <row r="34" spans="1:26" x14ac:dyDescent="0.25">
      <c r="A34" s="47">
        <f t="shared" ca="1" si="6"/>
        <v>2047</v>
      </c>
      <c r="B34" s="47">
        <f t="shared" si="5"/>
        <v>28</v>
      </c>
      <c r="C34" s="178" t="str">
        <f>_xlfn.IFNA(HLOOKUP(B34, 'Staggered Goals(All) Planner'!$B$6:$J$13, 8, FALSE),"")</f>
        <v/>
      </c>
      <c r="D34" t="str">
        <f>IF(Table1[[#This Row],[Yrs to go]]&lt;yr_to_ret,"",_xlfn.IFNA(HLOOKUP(B34, 'Staggered Goals(All) Planner'!$B$6:$J$21, 16, FALSE),""))</f>
        <v/>
      </c>
      <c r="F34" s="178" t="str">
        <f>_xlfn.IFNA(HLOOKUP(B34, 'Staggered Goals(All) Planner'!$B$28:$J$43, 8, FALSE),"")</f>
        <v/>
      </c>
      <c r="I34" s="205">
        <f>IF(I33&gt;0,I33*(1+Retirement_Inputs!$B$15),IF((B34&lt;Retirement_Inputs!$B$11),0,Retirement_Inputs!$B$12*12))</f>
        <v>5176263.8318279022</v>
      </c>
      <c r="J34" s="206">
        <f ca="1">SUMIF('Staggered Goals(All) Planner'!$B$51:$Z$51,YearlyCashFlow!B34,'Staggered Goals(All) Planner'!$B$58:$Z$58)</f>
        <v>0</v>
      </c>
      <c r="K34" s="101" t="str">
        <f ca="1">_xlfn.IFNA(HLOOKUP(B34,'Staggered Goals(All) Planner'!$B$51:$S$67, 16, FALSE),"")</f>
        <v/>
      </c>
      <c r="L34" s="205">
        <f t="shared" ca="1" si="0"/>
        <v>645593.58692599577</v>
      </c>
      <c r="M34" s="178">
        <f ca="1">IF(Table1[[#This Row],[Yrs to go]]&lt;yr_to_ret, 0, IF(Table1[[#This Row],[Yrs to go]]&gt;time,0,SUM(C34,F34,I34,J34)-Table1[[#This Row],[Yearly Income from other sources]]))</f>
        <v>4530670.2449019067</v>
      </c>
      <c r="N34" s="178">
        <f ca="1">PV(Retirement_Inputs!$B$16,Table1[[#This Row],[Yrs to go]],,-Table1[[#This Row],[Total Cash Required]])</f>
        <v>681422.82862533</v>
      </c>
      <c r="W34" s="178">
        <f t="shared" ca="1" si="1"/>
        <v>477593.58692599577</v>
      </c>
      <c r="X34" s="178">
        <f t="shared" ca="1" si="2"/>
        <v>60000</v>
      </c>
      <c r="Y34" s="178">
        <f t="shared" ca="1" si="3"/>
        <v>48000</v>
      </c>
      <c r="Z34" s="178">
        <f t="shared" ca="1" si="4"/>
        <v>60000</v>
      </c>
    </row>
    <row r="35" spans="1:26" x14ac:dyDescent="0.25">
      <c r="A35" s="47">
        <f t="shared" ca="1" si="6"/>
        <v>2048</v>
      </c>
      <c r="B35" s="47">
        <f t="shared" si="5"/>
        <v>29</v>
      </c>
      <c r="C35" s="178" t="str">
        <f>_xlfn.IFNA(HLOOKUP(B35, 'Staggered Goals(All) Planner'!$B$6:$J$13, 8, FALSE),"")</f>
        <v/>
      </c>
      <c r="D35" t="str">
        <f>IF(Table1[[#This Row],[Yrs to go]]&lt;yr_to_ret,"",_xlfn.IFNA(HLOOKUP(B35, 'Staggered Goals(All) Planner'!$B$6:$J$21, 16, FALSE),""))</f>
        <v/>
      </c>
      <c r="F35" s="178" t="str">
        <f>_xlfn.IFNA(HLOOKUP(B35, 'Staggered Goals(All) Planner'!$B$28:$J$43, 8, FALSE),"")</f>
        <v/>
      </c>
      <c r="I35" s="205">
        <f>IF(I34&gt;0,I34*(1+Retirement_Inputs!$B$15),IF((B35&lt;Retirement_Inputs!$B$11),0,Retirement_Inputs!$B$12*12))</f>
        <v>5590364.9383741347</v>
      </c>
      <c r="J35" s="206">
        <f ca="1">SUMIF('Staggered Goals(All) Planner'!$B$51:$Z$51,YearlyCashFlow!B35,'Staggered Goals(All) Planner'!$B$58:$Z$58)</f>
        <v>0</v>
      </c>
      <c r="K35" s="101" t="str">
        <f ca="1">_xlfn.IFNA(HLOOKUP(B35,'Staggered Goals(All) Planner'!$B$51:$S$67, 16, FALSE),"")</f>
        <v/>
      </c>
      <c r="L35" s="205">
        <f t="shared" ca="1" si="0"/>
        <v>669473.2662722955</v>
      </c>
      <c r="M35" s="178">
        <f ca="1">IF(Table1[[#This Row],[Yrs to go]]&lt;yr_to_ret, 0, IF(Table1[[#This Row],[Yrs to go]]&gt;time,0,SUM(C35,F35,I35,J35)-Table1[[#This Row],[Yearly Income from other sources]]))</f>
        <v>4920891.6721018394</v>
      </c>
      <c r="N35" s="178">
        <f ca="1">PV(Retirement_Inputs!$B$16,Table1[[#This Row],[Yrs to go]],,-Table1[[#This Row],[Total Cash Required]])</f>
        <v>691694.38748963096</v>
      </c>
      <c r="W35" s="178">
        <f t="shared" ca="1" si="1"/>
        <v>501473.26627229556</v>
      </c>
      <c r="X35" s="178">
        <f t="shared" ca="1" si="2"/>
        <v>60000</v>
      </c>
      <c r="Y35" s="178">
        <f t="shared" ca="1" si="3"/>
        <v>48000</v>
      </c>
      <c r="Z35" s="178">
        <f t="shared" ca="1" si="4"/>
        <v>60000</v>
      </c>
    </row>
    <row r="36" spans="1:26" x14ac:dyDescent="0.25">
      <c r="A36" s="47">
        <f t="shared" ca="1" si="6"/>
        <v>2049</v>
      </c>
      <c r="B36" s="47">
        <f t="shared" si="5"/>
        <v>30</v>
      </c>
      <c r="C36" s="178" t="str">
        <f>_xlfn.IFNA(HLOOKUP(B36, 'Staggered Goals(All) Planner'!$B$6:$J$13, 8, FALSE),"")</f>
        <v/>
      </c>
      <c r="D36" t="str">
        <f>IF(Table1[[#This Row],[Yrs to go]]&lt;yr_to_ret,"",_xlfn.IFNA(HLOOKUP(B36, 'Staggered Goals(All) Planner'!$B$6:$J$21, 16, FALSE),""))</f>
        <v/>
      </c>
      <c r="F36" s="178" t="str">
        <f>_xlfn.IFNA(HLOOKUP(B36, 'Staggered Goals(All) Planner'!$B$28:$J$43, 8, FALSE),"")</f>
        <v/>
      </c>
      <c r="I36" s="205">
        <f>IF(I35&gt;0,I35*(1+Retirement_Inputs!$B$15),IF((B36&lt;Retirement_Inputs!$B$11),0,Retirement_Inputs!$B$12*12))</f>
        <v>6037594.1334440662</v>
      </c>
      <c r="J36" s="206">
        <f ca="1">SUMIF('Staggered Goals(All) Planner'!$B$51:$Z$51,YearlyCashFlow!B36,'Staggered Goals(All) Planner'!$B$58:$Z$58)</f>
        <v>0</v>
      </c>
      <c r="K36" s="101" t="str">
        <f ca="1">_xlfn.IFNA(HLOOKUP(B36,'Staggered Goals(All) Planner'!$B$51:$S$67, 16, FALSE),"")</f>
        <v/>
      </c>
      <c r="L36" s="205">
        <f t="shared" ca="1" si="0"/>
        <v>694546.92958591029</v>
      </c>
      <c r="M36" s="178">
        <f ca="1">IF(Table1[[#This Row],[Yrs to go]]&lt;yr_to_ret, 0, IF(Table1[[#This Row],[Yrs to go]]&gt;time,0,SUM(C36,F36,I36,J36)-Table1[[#This Row],[Yearly Income from other sources]]))</f>
        <v>5343047.2038581558</v>
      </c>
      <c r="N36" s="178">
        <f ca="1">PV(Retirement_Inputs!$B$16,Table1[[#This Row],[Yrs to go]],,-Table1[[#This Row],[Total Cash Required]])</f>
        <v>701900.70799173787</v>
      </c>
      <c r="W36" s="178">
        <f t="shared" ca="1" si="1"/>
        <v>526546.92958591029</v>
      </c>
      <c r="X36" s="178">
        <f t="shared" ca="1" si="2"/>
        <v>60000</v>
      </c>
      <c r="Y36" s="178">
        <f t="shared" ca="1" si="3"/>
        <v>48000</v>
      </c>
      <c r="Z36" s="178">
        <f t="shared" ca="1" si="4"/>
        <v>60000</v>
      </c>
    </row>
    <row r="37" spans="1:26" x14ac:dyDescent="0.25">
      <c r="A37" s="47">
        <f t="shared" ca="1" si="6"/>
        <v>2050</v>
      </c>
      <c r="B37" s="47">
        <f t="shared" si="5"/>
        <v>31</v>
      </c>
      <c r="C37" s="178" t="str">
        <f>_xlfn.IFNA(HLOOKUP(B37, 'Staggered Goals(All) Planner'!$B$6:$J$13, 8, FALSE),"")</f>
        <v/>
      </c>
      <c r="D37" t="str">
        <f>IF(Table1[[#This Row],[Yrs to go]]&lt;yr_to_ret,"",_xlfn.IFNA(HLOOKUP(B37, 'Staggered Goals(All) Planner'!$B$6:$J$21, 16, FALSE),""))</f>
        <v/>
      </c>
      <c r="F37" s="178" t="str">
        <f>_xlfn.IFNA(HLOOKUP(B37, 'Staggered Goals(All) Planner'!$B$28:$J$43, 8, FALSE),"")</f>
        <v/>
      </c>
      <c r="I37" s="205">
        <f>IF(I36&gt;0,I36*(1+Retirement_Inputs!$B$15),IF((B37&lt;Retirement_Inputs!$B$11),0,Retirement_Inputs!$B$12*12))</f>
        <v>6520601.6641195919</v>
      </c>
      <c r="J37" s="206">
        <f ca="1">SUMIF('Staggered Goals(All) Planner'!$B$51:$Z$51,YearlyCashFlow!B37,'Staggered Goals(All) Planner'!$B$58:$Z$58)</f>
        <v>1250040.1726626747</v>
      </c>
      <c r="K37" s="101" t="str">
        <f ca="1">_xlfn.IFNA(HLOOKUP(B37,'Staggered Goals(All) Planner'!$B$51:$S$67, 16, FALSE),"")</f>
        <v>Vacation</v>
      </c>
      <c r="L37" s="205">
        <f t="shared" ca="1" si="0"/>
        <v>720874.27606520592</v>
      </c>
      <c r="M37" s="178">
        <f ca="1">IF(Table1[[#This Row],[Yrs to go]]&lt;yr_to_ret, 0, IF(Table1[[#This Row],[Yrs to go]]&gt;time,0,SUM(C37,F37,I37,J37)-Table1[[#This Row],[Yearly Income from other sources]]))</f>
        <v>7049767.5607170602</v>
      </c>
      <c r="N37" s="178">
        <f ca="1">PV(Retirement_Inputs!$B$16,Table1[[#This Row],[Yrs to go]],,-Table1[[#This Row],[Total Cash Required]])</f>
        <v>865521.15987041558</v>
      </c>
      <c r="W37" s="178">
        <f t="shared" ca="1" si="1"/>
        <v>552874.27606520592</v>
      </c>
      <c r="X37" s="178">
        <f t="shared" ca="1" si="2"/>
        <v>60000</v>
      </c>
      <c r="Y37" s="178">
        <f t="shared" ca="1" si="3"/>
        <v>48000</v>
      </c>
      <c r="Z37" s="178">
        <f t="shared" ca="1" si="4"/>
        <v>60000</v>
      </c>
    </row>
    <row r="38" spans="1:26" x14ac:dyDescent="0.25">
      <c r="A38" s="47">
        <f t="shared" ca="1" si="6"/>
        <v>2051</v>
      </c>
      <c r="B38" s="47">
        <f t="shared" si="5"/>
        <v>32</v>
      </c>
      <c r="C38" s="178" t="str">
        <f>_xlfn.IFNA(HLOOKUP(B38, 'Staggered Goals(All) Planner'!$B$6:$J$13, 8, FALSE),"")</f>
        <v/>
      </c>
      <c r="D38" t="str">
        <f>IF(Table1[[#This Row],[Yrs to go]]&lt;yr_to_ret,"",_xlfn.IFNA(HLOOKUP(B38, 'Staggered Goals(All) Planner'!$B$6:$J$21, 16, FALSE),""))</f>
        <v/>
      </c>
      <c r="F38" s="178" t="str">
        <f>_xlfn.IFNA(HLOOKUP(B38, 'Staggered Goals(All) Planner'!$B$28:$J$43, 8, FALSE),"")</f>
        <v/>
      </c>
      <c r="I38" s="205">
        <f>IF(I37&gt;0,I37*(1+Retirement_Inputs!$B$15),IF((B38&lt;Retirement_Inputs!$B$11),0,Retirement_Inputs!$B$12*12))</f>
        <v>7042249.7972491598</v>
      </c>
      <c r="J38" s="206">
        <f ca="1">SUMIF('Staggered Goals(All) Planner'!$B$51:$Z$51,YearlyCashFlow!B38,'Staggered Goals(All) Planner'!$B$58:$Z$58)</f>
        <v>0</v>
      </c>
      <c r="K38" s="101" t="str">
        <f ca="1">_xlfn.IFNA(HLOOKUP(B38,'Staggered Goals(All) Planner'!$B$51:$S$67, 16, FALSE),"")</f>
        <v/>
      </c>
      <c r="L38" s="205">
        <f t="shared" ca="1" si="0"/>
        <v>748517.98986846616</v>
      </c>
      <c r="M38" s="178">
        <f ca="1">IF(Table1[[#This Row],[Yrs to go]]&lt;yr_to_ret, 0, IF(Table1[[#This Row],[Yrs to go]]&gt;time,0,SUM(C38,F38,I38,J38)-Table1[[#This Row],[Yearly Income from other sources]]))</f>
        <v>6293731.807380694</v>
      </c>
      <c r="N38" s="178">
        <f ca="1">PV(Retirement_Inputs!$B$16,Table1[[#This Row],[Yrs to go]],,-Table1[[#This Row],[Total Cash Required]])</f>
        <v>722149.8852998059</v>
      </c>
      <c r="W38" s="178">
        <f t="shared" ca="1" si="1"/>
        <v>580517.98986846616</v>
      </c>
      <c r="X38" s="178">
        <f t="shared" ca="1" si="2"/>
        <v>60000</v>
      </c>
      <c r="Y38" s="178">
        <f t="shared" ca="1" si="3"/>
        <v>48000</v>
      </c>
      <c r="Z38" s="178">
        <f t="shared" ca="1" si="4"/>
        <v>60000</v>
      </c>
    </row>
    <row r="39" spans="1:26" x14ac:dyDescent="0.25">
      <c r="A39" s="47">
        <f t="shared" ca="1" si="6"/>
        <v>2052</v>
      </c>
      <c r="B39" s="47">
        <f t="shared" si="5"/>
        <v>33</v>
      </c>
      <c r="C39" s="178" t="str">
        <f>_xlfn.IFNA(HLOOKUP(B39, 'Staggered Goals(All) Planner'!$B$6:$J$13, 8, FALSE),"")</f>
        <v/>
      </c>
      <c r="D39" t="str">
        <f>IF(Table1[[#This Row],[Yrs to go]]&lt;yr_to_ret,"",_xlfn.IFNA(HLOOKUP(B39, 'Staggered Goals(All) Planner'!$B$6:$J$21, 16, FALSE),""))</f>
        <v/>
      </c>
      <c r="F39" s="178" t="str">
        <f>_xlfn.IFNA(HLOOKUP(B39, 'Staggered Goals(All) Planner'!$B$28:$J$43, 8, FALSE),"")</f>
        <v/>
      </c>
      <c r="I39" s="205">
        <f>IF(I38&gt;0,I38*(1+Retirement_Inputs!$B$15),IF((B39&lt;Retirement_Inputs!$B$11),0,Retirement_Inputs!$B$12*12))</f>
        <v>7605629.7810290931</v>
      </c>
      <c r="J39" s="206">
        <f ca="1">SUMIF('Staggered Goals(All) Planner'!$B$51:$Z$51,YearlyCashFlow!B39,'Staggered Goals(All) Planner'!$B$58:$Z$58)</f>
        <v>0</v>
      </c>
      <c r="K39" s="101" t="str">
        <f ca="1">_xlfn.IFNA(HLOOKUP(B39,'Staggered Goals(All) Planner'!$B$51:$S$67, 16, FALSE),"")</f>
        <v/>
      </c>
      <c r="L39" s="205">
        <f t="shared" ref="L39:L70" ca="1" si="7">SUM(W39:Z39)</f>
        <v>777543.88936188945</v>
      </c>
      <c r="M39" s="178">
        <f ca="1">IF(Table1[[#This Row],[Yrs to go]]&lt;yr_to_ret, 0, IF(Table1[[#This Row],[Yrs to go]]&gt;time,0,SUM(C39,F39,I39,J39)-Table1[[#This Row],[Yearly Income from other sources]]))</f>
        <v>6828085.891667204</v>
      </c>
      <c r="N39" s="178">
        <f ca="1">PV(Retirement_Inputs!$B$16,Table1[[#This Row],[Yrs to go]],,-Table1[[#This Row],[Total Cash Required]])</f>
        <v>732207.73415483965</v>
      </c>
      <c r="W39" s="178">
        <f t="shared" ref="W39:W70" ca="1" si="8">IF(A39&lt;sr_st1,0,IF(A39&lt;sr_end1, ((1+sr_rate1)^(A39-sr_st1))*source1*12,0))</f>
        <v>609543.88936188945</v>
      </c>
      <c r="X39" s="178">
        <f t="shared" ref="X39:X70" ca="1" si="9">IF(A39&lt;sr_st2,0,IF(A39&lt;sr_end2, ((1+sr_rate2)^(A39-sr_st2))*source2*12,0))</f>
        <v>60000</v>
      </c>
      <c r="Y39" s="178">
        <f t="shared" ref="Y39:Y70" ca="1" si="10">IF(A39&lt;sr_st3,0,IF(A39&lt;sr_end3, ((1+sr_rate3)^(A39-sr_st3))*source3*12,0))</f>
        <v>48000</v>
      </c>
      <c r="Z39" s="178">
        <f t="shared" ref="Z39:Z70" ca="1" si="11">IF(A39&lt;sr_st4,0,IF(A39&lt;sr_end4, ((1+sr_rate4)^(A39-sr_st4))*source4*12,0))</f>
        <v>60000</v>
      </c>
    </row>
    <row r="40" spans="1:26" x14ac:dyDescent="0.25">
      <c r="A40" s="47">
        <f t="shared" ca="1" si="6"/>
        <v>2053</v>
      </c>
      <c r="B40" s="47">
        <f t="shared" si="5"/>
        <v>34</v>
      </c>
      <c r="C40" s="178" t="str">
        <f>_xlfn.IFNA(HLOOKUP(B40, 'Staggered Goals(All) Planner'!$B$6:$J$13, 8, FALSE),"")</f>
        <v/>
      </c>
      <c r="D40" t="str">
        <f>IF(Table1[[#This Row],[Yrs to go]]&lt;yr_to_ret,"",_xlfn.IFNA(HLOOKUP(B40, 'Staggered Goals(All) Planner'!$B$6:$J$21, 16, FALSE),""))</f>
        <v/>
      </c>
      <c r="F40" s="178" t="str">
        <f>_xlfn.IFNA(HLOOKUP(B40, 'Staggered Goals(All) Planner'!$B$28:$J$43, 8, FALSE),"")</f>
        <v/>
      </c>
      <c r="I40" s="205">
        <f>IF(I39&gt;0,I39*(1+Retirement_Inputs!$B$15),IF((B40&lt;Retirement_Inputs!$B$11),0,Retirement_Inputs!$B$12*12))</f>
        <v>8214080.1635114215</v>
      </c>
      <c r="J40" s="206">
        <f ca="1">SUMIF('Staggered Goals(All) Planner'!$B$51:$Z$51,YearlyCashFlow!B40,'Staggered Goals(All) Planner'!$B$58:$Z$58)</f>
        <v>0</v>
      </c>
      <c r="K40" s="101" t="str">
        <f ca="1">_xlfn.IFNA(HLOOKUP(B40,'Staggered Goals(All) Planner'!$B$51:$S$67, 16, FALSE),"")</f>
        <v/>
      </c>
      <c r="L40" s="205">
        <f t="shared" ca="1" si="7"/>
        <v>808021.08382998395</v>
      </c>
      <c r="M40" s="178">
        <f ca="1">IF(Table1[[#This Row],[Yrs to go]]&lt;yr_to_ret, 0, IF(Table1[[#This Row],[Yrs to go]]&gt;time,0,SUM(C40,F40,I40,J40)-Table1[[#This Row],[Yearly Income from other sources]]))</f>
        <v>7406059.0796814375</v>
      </c>
      <c r="N40" s="178">
        <f ca="1">PV(Retirement_Inputs!$B$16,Table1[[#This Row],[Yrs to go]],,-Table1[[#This Row],[Total Cash Required]])</f>
        <v>742230.38775829424</v>
      </c>
      <c r="W40" s="178">
        <f t="shared" ca="1" si="8"/>
        <v>640021.08382998395</v>
      </c>
      <c r="X40" s="178">
        <f t="shared" ca="1" si="9"/>
        <v>60000</v>
      </c>
      <c r="Y40" s="178">
        <f t="shared" ca="1" si="10"/>
        <v>48000</v>
      </c>
      <c r="Z40" s="178">
        <f t="shared" ca="1" si="11"/>
        <v>60000</v>
      </c>
    </row>
    <row r="41" spans="1:26" x14ac:dyDescent="0.25">
      <c r="A41" s="47">
        <f t="shared" ca="1" si="6"/>
        <v>2054</v>
      </c>
      <c r="B41" s="47">
        <f t="shared" si="5"/>
        <v>35</v>
      </c>
      <c r="C41" s="178" t="str">
        <f>_xlfn.IFNA(HLOOKUP(B41, 'Staggered Goals(All) Planner'!$B$6:$J$13, 8, FALSE),"")</f>
        <v/>
      </c>
      <c r="D41" t="str">
        <f>IF(Table1[[#This Row],[Yrs to go]]&lt;yr_to_ret,"",_xlfn.IFNA(HLOOKUP(B41, 'Staggered Goals(All) Planner'!$B$6:$J$21, 16, FALSE),""))</f>
        <v/>
      </c>
      <c r="F41" s="178" t="str">
        <f>_xlfn.IFNA(HLOOKUP(B41, 'Staggered Goals(All) Planner'!$B$28:$J$43, 8, FALSE),"")</f>
        <v/>
      </c>
      <c r="I41" s="205">
        <f>IF(I40&gt;0,I40*(1+Retirement_Inputs!$B$15),IF((B41&lt;Retirement_Inputs!$B$11),0,Retirement_Inputs!$B$12*12))</f>
        <v>8871206.5765923355</v>
      </c>
      <c r="J41" s="206">
        <f ca="1">SUMIF('Staggered Goals(All) Planner'!$B$51:$Z$51,YearlyCashFlow!B41,'Staggered Goals(All) Planner'!$B$58:$Z$58)</f>
        <v>0</v>
      </c>
      <c r="K41" s="101" t="str">
        <f ca="1">_xlfn.IFNA(HLOOKUP(B41,'Staggered Goals(All) Planner'!$B$51:$S$67, 16, FALSE),"")</f>
        <v/>
      </c>
      <c r="L41" s="205">
        <f t="shared" ca="1" si="7"/>
        <v>840022.1380214832</v>
      </c>
      <c r="M41" s="178">
        <f ca="1">IF(Table1[[#This Row],[Yrs to go]]&lt;yr_to_ret, 0, IF(Table1[[#This Row],[Yrs to go]]&gt;time,0,SUM(C41,F41,I41,J41)-Table1[[#This Row],[Yearly Income from other sources]]))</f>
        <v>8031184.4385708524</v>
      </c>
      <c r="N41" s="178">
        <f ca="1">PV(Retirement_Inputs!$B$16,Table1[[#This Row],[Yrs to go]],,-Table1[[#This Row],[Total Cash Required]])</f>
        <v>752224.33792534599</v>
      </c>
      <c r="W41" s="178">
        <f t="shared" ca="1" si="8"/>
        <v>672022.1380214832</v>
      </c>
      <c r="X41" s="178">
        <f t="shared" ca="1" si="9"/>
        <v>60000</v>
      </c>
      <c r="Y41" s="178">
        <f t="shared" ca="1" si="10"/>
        <v>48000</v>
      </c>
      <c r="Z41" s="178">
        <f t="shared" ca="1" si="11"/>
        <v>60000</v>
      </c>
    </row>
    <row r="42" spans="1:26" x14ac:dyDescent="0.25">
      <c r="A42" s="47">
        <f t="shared" ca="1" si="6"/>
        <v>2055</v>
      </c>
      <c r="B42" s="47">
        <f t="shared" si="5"/>
        <v>36</v>
      </c>
      <c r="C42" s="178" t="str">
        <f>_xlfn.IFNA(HLOOKUP(B42, 'Staggered Goals(All) Planner'!$B$6:$J$13, 8, FALSE),"")</f>
        <v/>
      </c>
      <c r="D42" t="str">
        <f>IF(Table1[[#This Row],[Yrs to go]]&lt;yr_to_ret,"",_xlfn.IFNA(HLOOKUP(B42, 'Staggered Goals(All) Planner'!$B$6:$J$21, 16, FALSE),""))</f>
        <v/>
      </c>
      <c r="F42" s="178" t="str">
        <f>_xlfn.IFNA(HLOOKUP(B42, 'Staggered Goals(All) Planner'!$B$28:$J$43, 8, FALSE),"")</f>
        <v/>
      </c>
      <c r="I42" s="205">
        <f>IF(I41&gt;0,I41*(1+Retirement_Inputs!$B$15),IF((B42&lt;Retirement_Inputs!$B$11),0,Retirement_Inputs!$B$12*12))</f>
        <v>9580903.1027197223</v>
      </c>
      <c r="J42" s="206">
        <f ca="1">SUMIF('Staggered Goals(All) Planner'!$B$51:$Z$51,YearlyCashFlow!B42,'Staggered Goals(All) Planner'!$B$58:$Z$58)</f>
        <v>0</v>
      </c>
      <c r="K42" s="101" t="str">
        <f ca="1">_xlfn.IFNA(HLOOKUP(B42,'Staggered Goals(All) Planner'!$B$51:$S$67, 16, FALSE),"")</f>
        <v/>
      </c>
      <c r="L42" s="205">
        <f t="shared" ca="1" si="7"/>
        <v>873623.24492255726</v>
      </c>
      <c r="M42" s="178">
        <f ca="1">IF(Table1[[#This Row],[Yrs to go]]&lt;yr_to_ret, 0, IF(Table1[[#This Row],[Yrs to go]]&gt;time,0,SUM(C42,F42,I42,J42)-Table1[[#This Row],[Yearly Income from other sources]]))</f>
        <v>8707279.8577971645</v>
      </c>
      <c r="N42" s="178">
        <f ca="1">PV(Retirement_Inputs!$B$16,Table1[[#This Row],[Yrs to go]],,-Table1[[#This Row],[Total Cash Required]])</f>
        <v>762195.72141506977</v>
      </c>
      <c r="W42" s="178">
        <f t="shared" ca="1" si="8"/>
        <v>705623.24492255726</v>
      </c>
      <c r="X42" s="178">
        <f t="shared" ca="1" si="9"/>
        <v>60000</v>
      </c>
      <c r="Y42" s="178">
        <f t="shared" ca="1" si="10"/>
        <v>48000</v>
      </c>
      <c r="Z42" s="178">
        <f t="shared" ca="1" si="11"/>
        <v>60000</v>
      </c>
    </row>
    <row r="43" spans="1:26" x14ac:dyDescent="0.25">
      <c r="A43" s="47">
        <f t="shared" ca="1" si="6"/>
        <v>2056</v>
      </c>
      <c r="B43" s="47">
        <f t="shared" si="5"/>
        <v>37</v>
      </c>
      <c r="C43" s="178" t="str">
        <f>_xlfn.IFNA(HLOOKUP(B43, 'Staggered Goals(All) Planner'!$B$6:$J$13, 8, FALSE),"")</f>
        <v/>
      </c>
      <c r="D43" t="str">
        <f>IF(Table1[[#This Row],[Yrs to go]]&lt;yr_to_ret,"",_xlfn.IFNA(HLOOKUP(B43, 'Staggered Goals(All) Planner'!$B$6:$J$21, 16, FALSE),""))</f>
        <v/>
      </c>
      <c r="F43" s="178" t="str">
        <f>_xlfn.IFNA(HLOOKUP(B43, 'Staggered Goals(All) Planner'!$B$28:$J$43, 8, FALSE),"")</f>
        <v/>
      </c>
      <c r="I43" s="205">
        <f>IF(I42&gt;0,I42*(1+Retirement_Inputs!$B$15),IF((B43&lt;Retirement_Inputs!$B$11),0,Retirement_Inputs!$B$12*12))</f>
        <v>10347375.350937301</v>
      </c>
      <c r="J43" s="206">
        <f ca="1">SUMIF('Staggered Goals(All) Planner'!$B$51:$Z$51,YearlyCashFlow!B43,'Staggered Goals(All) Planner'!$B$58:$Z$58)</f>
        <v>0</v>
      </c>
      <c r="K43" s="101" t="str">
        <f ca="1">_xlfn.IFNA(HLOOKUP(B43,'Staggered Goals(All) Planner'!$B$51:$S$67, 16, FALSE),"")</f>
        <v/>
      </c>
      <c r="L43" s="205">
        <f t="shared" ca="1" si="7"/>
        <v>908904.40716868523</v>
      </c>
      <c r="M43" s="178">
        <f ca="1">IF(Table1[[#This Row],[Yrs to go]]&lt;yr_to_ret, 0, IF(Table1[[#This Row],[Yrs to go]]&gt;time,0,SUM(C43,F43,I43,J43)-Table1[[#This Row],[Yearly Income from other sources]]))</f>
        <v>9438470.9437686168</v>
      </c>
      <c r="N43" s="178">
        <f ca="1">PV(Retirement_Inputs!$B$16,Table1[[#This Row],[Yrs to go]],,-Table1[[#This Row],[Total Cash Required]])</f>
        <v>772150.34323937085</v>
      </c>
      <c r="W43" s="178">
        <f t="shared" ca="1" si="8"/>
        <v>740904.40716868523</v>
      </c>
      <c r="X43" s="178">
        <f t="shared" ca="1" si="9"/>
        <v>60000</v>
      </c>
      <c r="Y43" s="178">
        <f t="shared" ca="1" si="10"/>
        <v>48000</v>
      </c>
      <c r="Z43" s="178">
        <f t="shared" ca="1" si="11"/>
        <v>60000</v>
      </c>
    </row>
    <row r="44" spans="1:26" x14ac:dyDescent="0.25">
      <c r="A44" s="47">
        <f t="shared" ca="1" si="6"/>
        <v>2057</v>
      </c>
      <c r="B44" s="47">
        <f t="shared" si="5"/>
        <v>38</v>
      </c>
      <c r="C44" s="178" t="str">
        <f>_xlfn.IFNA(HLOOKUP(B44, 'Staggered Goals(All) Planner'!$B$6:$J$13, 8, FALSE),"")</f>
        <v/>
      </c>
      <c r="D44" t="str">
        <f>IF(Table1[[#This Row],[Yrs to go]]&lt;yr_to_ret,"",_xlfn.IFNA(HLOOKUP(B44, 'Staggered Goals(All) Planner'!$B$6:$J$21, 16, FALSE),""))</f>
        <v/>
      </c>
      <c r="F44" s="178" t="str">
        <f>_xlfn.IFNA(HLOOKUP(B44, 'Staggered Goals(All) Planner'!$B$28:$J$43, 8, FALSE),"")</f>
        <v/>
      </c>
      <c r="I44" s="205">
        <f>IF(I43&gt;0,I43*(1+Retirement_Inputs!$B$15),IF((B44&lt;Retirement_Inputs!$B$11),0,Retirement_Inputs!$B$12*12))</f>
        <v>11175165.379012287</v>
      </c>
      <c r="J44" s="206">
        <f ca="1">SUMIF('Staggered Goals(All) Planner'!$B$51:$Z$51,YearlyCashFlow!B44,'Staggered Goals(All) Planner'!$B$58:$Z$58)</f>
        <v>0</v>
      </c>
      <c r="K44" s="101" t="str">
        <f ca="1">_xlfn.IFNA(HLOOKUP(B44,'Staggered Goals(All) Planner'!$B$51:$S$67, 16, FALSE),"")</f>
        <v/>
      </c>
      <c r="L44" s="205">
        <f t="shared" ca="1" si="7"/>
        <v>945949.62752711924</v>
      </c>
      <c r="M44" s="178">
        <f ca="1">IF(Table1[[#This Row],[Yrs to go]]&lt;yr_to_ret, 0, IF(Table1[[#This Row],[Yrs to go]]&gt;time,0,SUM(C44,F44,I44,J44)-Table1[[#This Row],[Yearly Income from other sources]]))</f>
        <v>10229215.751485167</v>
      </c>
      <c r="N44" s="178">
        <f ca="1">PV(Retirement_Inputs!$B$16,Table1[[#This Row],[Yrs to go]],,-Table1[[#This Row],[Total Cash Required]])</f>
        <v>782093.69845844142</v>
      </c>
      <c r="W44" s="178">
        <f t="shared" ca="1" si="8"/>
        <v>777949.62752711924</v>
      </c>
      <c r="X44" s="178">
        <f t="shared" ca="1" si="9"/>
        <v>60000</v>
      </c>
      <c r="Y44" s="178">
        <f t="shared" ca="1" si="10"/>
        <v>48000</v>
      </c>
      <c r="Z44" s="178">
        <f t="shared" ca="1" si="11"/>
        <v>60000</v>
      </c>
    </row>
    <row r="45" spans="1:26" x14ac:dyDescent="0.25">
      <c r="A45" s="47">
        <f t="shared" ca="1" si="6"/>
        <v>2058</v>
      </c>
      <c r="B45" s="47">
        <f t="shared" si="5"/>
        <v>39</v>
      </c>
      <c r="C45" s="178" t="str">
        <f>_xlfn.IFNA(HLOOKUP(B45, 'Staggered Goals(All) Planner'!$B$6:$J$13, 8, FALSE),"")</f>
        <v/>
      </c>
      <c r="D45" t="str">
        <f>IF(Table1[[#This Row],[Yrs to go]]&lt;yr_to_ret,"",_xlfn.IFNA(HLOOKUP(B45, 'Staggered Goals(All) Planner'!$B$6:$J$21, 16, FALSE),""))</f>
        <v/>
      </c>
      <c r="F45" s="178" t="str">
        <f>_xlfn.IFNA(HLOOKUP(B45, 'Staggered Goals(All) Planner'!$B$28:$J$43, 8, FALSE),"")</f>
        <v/>
      </c>
      <c r="I45" s="205">
        <f>IF(I44&gt;0,I44*(1+Retirement_Inputs!$B$15),IF((B45&lt;Retirement_Inputs!$B$11),0,Retirement_Inputs!$B$12*12))</f>
        <v>12069178.609333271</v>
      </c>
      <c r="J45" s="206">
        <f ca="1">SUMIF('Staggered Goals(All) Planner'!$B$51:$Z$51,YearlyCashFlow!B45,'Staggered Goals(All) Planner'!$B$58:$Z$58)</f>
        <v>0</v>
      </c>
      <c r="K45" s="101" t="str">
        <f ca="1">_xlfn.IFNA(HLOOKUP(B45,'Staggered Goals(All) Planner'!$B$51:$S$67, 16, FALSE),"")</f>
        <v/>
      </c>
      <c r="L45" s="205">
        <f t="shared" ca="1" si="7"/>
        <v>984847.10890347557</v>
      </c>
      <c r="M45" s="178">
        <f ca="1">IF(Table1[[#This Row],[Yrs to go]]&lt;yr_to_ret, 0, IF(Table1[[#This Row],[Yrs to go]]&gt;time,0,SUM(C45,F45,I45,J45)-Table1[[#This Row],[Yearly Income from other sources]]))</f>
        <v>11084331.500429796</v>
      </c>
      <c r="N45" s="178">
        <f ca="1">PV(Retirement_Inputs!$B$16,Table1[[#This Row],[Yrs to go]],,-Table1[[#This Row],[Total Cash Required]])</f>
        <v>792030.99256166455</v>
      </c>
      <c r="W45" s="178">
        <f t="shared" ca="1" si="8"/>
        <v>816847.10890347557</v>
      </c>
      <c r="X45" s="178">
        <f t="shared" ca="1" si="9"/>
        <v>60000</v>
      </c>
      <c r="Y45" s="178">
        <f t="shared" ca="1" si="10"/>
        <v>48000</v>
      </c>
      <c r="Z45" s="178">
        <f t="shared" ca="1" si="11"/>
        <v>60000</v>
      </c>
    </row>
    <row r="46" spans="1:26" x14ac:dyDescent="0.25">
      <c r="A46" s="47">
        <f t="shared" ca="1" si="6"/>
        <v>2059</v>
      </c>
      <c r="B46" s="47">
        <f t="shared" si="5"/>
        <v>40</v>
      </c>
      <c r="C46" s="178" t="str">
        <f>_xlfn.IFNA(HLOOKUP(B46, 'Staggered Goals(All) Planner'!$B$6:$J$13, 8, FALSE),"")</f>
        <v/>
      </c>
      <c r="D46" t="str">
        <f>IF(Table1[[#This Row],[Yrs to go]]&lt;yr_to_ret,"",_xlfn.IFNA(HLOOKUP(B46, 'Staggered Goals(All) Planner'!$B$6:$J$21, 16, FALSE),""))</f>
        <v/>
      </c>
      <c r="F46" s="178" t="str">
        <f>_xlfn.IFNA(HLOOKUP(B46, 'Staggered Goals(All) Planner'!$B$28:$J$43, 8, FALSE),"")</f>
        <v/>
      </c>
      <c r="I46" s="205">
        <f>IF(I45&gt;0,I45*(1+Retirement_Inputs!$B$15),IF((B46&lt;Retirement_Inputs!$B$11),0,Retirement_Inputs!$B$12*12))</f>
        <v>13034712.898079934</v>
      </c>
      <c r="J46" s="206">
        <f ca="1">SUMIF('Staggered Goals(All) Planner'!$B$51:$Z$51,YearlyCashFlow!B46,'Staggered Goals(All) Planner'!$B$58:$Z$58)</f>
        <v>0</v>
      </c>
      <c r="K46" s="101" t="str">
        <f ca="1">_xlfn.IFNA(HLOOKUP(B46,'Staggered Goals(All) Planner'!$B$51:$S$67, 16, FALSE),"")</f>
        <v/>
      </c>
      <c r="L46" s="205">
        <f t="shared" ca="1" si="7"/>
        <v>1025689.4643486494</v>
      </c>
      <c r="M46" s="178">
        <f ca="1">IF(Table1[[#This Row],[Yrs to go]]&lt;yr_to_ret, 0, IF(Table1[[#This Row],[Yrs to go]]&gt;time,0,SUM(C46,F46,I46,J46)-Table1[[#This Row],[Yearly Income from other sources]]))</f>
        <v>12009023.433731284</v>
      </c>
      <c r="N46" s="178">
        <f ca="1">PV(Retirement_Inputs!$B$16,Table1[[#This Row],[Yrs to go]],,-Table1[[#This Row],[Total Cash Required]])</f>
        <v>801967.16052641277</v>
      </c>
      <c r="W46" s="178">
        <f t="shared" ca="1" si="8"/>
        <v>857689.46434864937</v>
      </c>
      <c r="X46" s="178">
        <f t="shared" ca="1" si="9"/>
        <v>60000</v>
      </c>
      <c r="Y46" s="178">
        <f t="shared" ca="1" si="10"/>
        <v>48000</v>
      </c>
      <c r="Z46" s="178">
        <f t="shared" ca="1" si="11"/>
        <v>60000</v>
      </c>
    </row>
    <row r="47" spans="1:26" x14ac:dyDescent="0.25">
      <c r="A47" s="47">
        <f t="shared" ca="1" si="6"/>
        <v>2060</v>
      </c>
      <c r="B47" s="47">
        <f t="shared" si="5"/>
        <v>41</v>
      </c>
      <c r="C47" s="178" t="str">
        <f>_xlfn.IFNA(HLOOKUP(B47, 'Staggered Goals(All) Planner'!$B$6:$J$13, 8, FALSE),"")</f>
        <v/>
      </c>
      <c r="D47" t="str">
        <f>IF(Table1[[#This Row],[Yrs to go]]&lt;yr_to_ret,"",_xlfn.IFNA(HLOOKUP(B47, 'Staggered Goals(All) Planner'!$B$6:$J$21, 16, FALSE),""))</f>
        <v/>
      </c>
      <c r="F47" s="178" t="str">
        <f>_xlfn.IFNA(HLOOKUP(B47, 'Staggered Goals(All) Planner'!$B$28:$J$43, 8, FALSE),"")</f>
        <v/>
      </c>
      <c r="I47" s="205">
        <f>IF(I46&gt;0,I46*(1+Retirement_Inputs!$B$15),IF((B47&lt;Retirement_Inputs!$B$11),0,Retirement_Inputs!$B$12*12))</f>
        <v>14077489.929926328</v>
      </c>
      <c r="J47" s="206">
        <f ca="1">SUMIF('Staggered Goals(All) Planner'!$B$51:$Z$51,YearlyCashFlow!B47,'Staggered Goals(All) Planner'!$B$58:$Z$58)</f>
        <v>0</v>
      </c>
      <c r="K47" s="101" t="str">
        <f ca="1">_xlfn.IFNA(HLOOKUP(B47,'Staggered Goals(All) Planner'!$B$51:$S$67, 16, FALSE),"")</f>
        <v/>
      </c>
      <c r="L47" s="205">
        <f t="shared" ca="1" si="7"/>
        <v>1008573.9375660818</v>
      </c>
      <c r="M47" s="178">
        <f ca="1">IF(Table1[[#This Row],[Yrs to go]]&lt;yr_to_ret, 0, IF(Table1[[#This Row],[Yrs to go]]&gt;time,0,SUM(C47,F47,I47,J47)-Table1[[#This Row],[Yearly Income from other sources]]))</f>
        <v>13068915.992360247</v>
      </c>
      <c r="N47" s="178">
        <f ca="1">PV(Retirement_Inputs!$B$16,Table1[[#This Row],[Yrs to go]],,-Table1[[#This Row],[Total Cash Required]])</f>
        <v>815651.57890369277</v>
      </c>
      <c r="W47" s="178">
        <f t="shared" ca="1" si="8"/>
        <v>900573.93756608176</v>
      </c>
      <c r="X47" s="178">
        <f t="shared" ca="1" si="9"/>
        <v>0</v>
      </c>
      <c r="Y47" s="178">
        <f t="shared" ca="1" si="10"/>
        <v>48000</v>
      </c>
      <c r="Z47" s="178">
        <f t="shared" ca="1" si="11"/>
        <v>60000</v>
      </c>
    </row>
    <row r="48" spans="1:26" x14ac:dyDescent="0.25">
      <c r="A48" s="47">
        <f t="shared" ca="1" si="6"/>
        <v>2061</v>
      </c>
      <c r="B48" s="47">
        <f t="shared" si="5"/>
        <v>42</v>
      </c>
      <c r="C48" s="178" t="str">
        <f>_xlfn.IFNA(HLOOKUP(B48, 'Staggered Goals(All) Planner'!$B$6:$J$13, 8, FALSE),"")</f>
        <v/>
      </c>
      <c r="D48" t="str">
        <f>IF(Table1[[#This Row],[Yrs to go]]&lt;yr_to_ret,"",_xlfn.IFNA(HLOOKUP(B48, 'Staggered Goals(All) Planner'!$B$6:$J$21, 16, FALSE),""))</f>
        <v/>
      </c>
      <c r="F48" s="178" t="str">
        <f>_xlfn.IFNA(HLOOKUP(B48, 'Staggered Goals(All) Planner'!$B$28:$J$43, 8, FALSE),"")</f>
        <v/>
      </c>
      <c r="I48" s="205">
        <f>IF(I47&gt;0,I47*(1+Retirement_Inputs!$B$15),IF((B48&lt;Retirement_Inputs!$B$11),0,Retirement_Inputs!$B$12*12))</f>
        <v>15203689.124320436</v>
      </c>
      <c r="J48" s="206">
        <f ca="1">SUMIF('Staggered Goals(All) Planner'!$B$51:$Z$51,YearlyCashFlow!B48,'Staggered Goals(All) Planner'!$B$58:$Z$58)</f>
        <v>0</v>
      </c>
      <c r="K48" s="101" t="str">
        <f ca="1">_xlfn.IFNA(HLOOKUP(B48,'Staggered Goals(All) Planner'!$B$51:$S$67, 16, FALSE),"")</f>
        <v/>
      </c>
      <c r="L48" s="205">
        <f t="shared" ca="1" si="7"/>
        <v>1053602.6344443858</v>
      </c>
      <c r="M48" s="178">
        <f ca="1">IF(Table1[[#This Row],[Yrs to go]]&lt;yr_to_ret, 0, IF(Table1[[#This Row],[Yrs to go]]&gt;time,0,SUM(C48,F48,I48,J48)-Table1[[#This Row],[Yearly Income from other sources]]))</f>
        <v>14150086.489876051</v>
      </c>
      <c r="N48" s="178">
        <f ca="1">PV(Retirement_Inputs!$B$16,Table1[[#This Row],[Yrs to go]],,-Table1[[#This Row],[Total Cash Required]])</f>
        <v>825354.32543765707</v>
      </c>
      <c r="W48" s="178">
        <f t="shared" ca="1" si="8"/>
        <v>945602.63444438577</v>
      </c>
      <c r="X48" s="178">
        <f t="shared" ca="1" si="9"/>
        <v>0</v>
      </c>
      <c r="Y48" s="178">
        <f t="shared" ca="1" si="10"/>
        <v>48000</v>
      </c>
      <c r="Z48" s="178">
        <f t="shared" ca="1" si="11"/>
        <v>60000</v>
      </c>
    </row>
    <row r="49" spans="1:26" x14ac:dyDescent="0.25">
      <c r="A49" s="47">
        <f t="shared" ca="1" si="6"/>
        <v>2062</v>
      </c>
      <c r="B49" s="47">
        <f t="shared" si="5"/>
        <v>43</v>
      </c>
      <c r="C49" s="178" t="str">
        <f>_xlfn.IFNA(HLOOKUP(B49, 'Staggered Goals(All) Planner'!$B$6:$J$13, 8, FALSE),"")</f>
        <v/>
      </c>
      <c r="D49" t="str">
        <f>IF(Table1[[#This Row],[Yrs to go]]&lt;yr_to_ret,"",_xlfn.IFNA(HLOOKUP(B49, 'Staggered Goals(All) Planner'!$B$6:$J$21, 16, FALSE),""))</f>
        <v/>
      </c>
      <c r="F49" s="178" t="str">
        <f>_xlfn.IFNA(HLOOKUP(B49, 'Staggered Goals(All) Planner'!$B$28:$J$43, 8, FALSE),"")</f>
        <v/>
      </c>
      <c r="I49" s="205">
        <f>IF(I48&gt;0,I48*(1+Retirement_Inputs!$B$15),IF((B49&lt;Retirement_Inputs!$B$11),0,Retirement_Inputs!$B$12*12))</f>
        <v>16419984.254266072</v>
      </c>
      <c r="J49" s="206">
        <f ca="1">SUMIF('Staggered Goals(All) Planner'!$B$51:$Z$51,YearlyCashFlow!B49,'Staggered Goals(All) Planner'!$B$58:$Z$58)</f>
        <v>0</v>
      </c>
      <c r="K49" s="101" t="str">
        <f ca="1">_xlfn.IFNA(HLOOKUP(B49,'Staggered Goals(All) Planner'!$B$51:$S$67, 16, FALSE),"")</f>
        <v/>
      </c>
      <c r="L49" s="205">
        <f t="shared" ca="1" si="7"/>
        <v>1100882.7661666053</v>
      </c>
      <c r="M49" s="178">
        <f ca="1">IF(Table1[[#This Row],[Yrs to go]]&lt;yr_to_ret, 0, IF(Table1[[#This Row],[Yrs to go]]&gt;time,0,SUM(C49,F49,I49,J49)-Table1[[#This Row],[Yearly Income from other sources]]))</f>
        <v>15319101.488099467</v>
      </c>
      <c r="N49" s="178">
        <f ca="1">PV(Retirement_Inputs!$B$16,Table1[[#This Row],[Yrs to go]],,-Table1[[#This Row],[Total Cash Required]])</f>
        <v>835085.32695387024</v>
      </c>
      <c r="W49" s="178">
        <f t="shared" ca="1" si="8"/>
        <v>992882.76616660529</v>
      </c>
      <c r="X49" s="178">
        <f t="shared" ca="1" si="9"/>
        <v>0</v>
      </c>
      <c r="Y49" s="178">
        <f t="shared" ca="1" si="10"/>
        <v>48000</v>
      </c>
      <c r="Z49" s="178">
        <f t="shared" ca="1" si="11"/>
        <v>60000</v>
      </c>
    </row>
    <row r="50" spans="1:26" x14ac:dyDescent="0.25">
      <c r="A50" s="47">
        <f t="shared" ca="1" si="6"/>
        <v>2063</v>
      </c>
      <c r="B50" s="47">
        <f t="shared" si="5"/>
        <v>44</v>
      </c>
      <c r="C50" s="178" t="str">
        <f>_xlfn.IFNA(HLOOKUP(B50, 'Staggered Goals(All) Planner'!$B$6:$J$13, 8, FALSE),"")</f>
        <v/>
      </c>
      <c r="D50" t="str">
        <f>IF(Table1[[#This Row],[Yrs to go]]&lt;yr_to_ret,"",_xlfn.IFNA(HLOOKUP(B50, 'Staggered Goals(All) Planner'!$B$6:$J$21, 16, FALSE),""))</f>
        <v/>
      </c>
      <c r="F50" s="178" t="str">
        <f>_xlfn.IFNA(HLOOKUP(B50, 'Staggered Goals(All) Planner'!$B$28:$J$43, 8, FALSE),"")</f>
        <v/>
      </c>
      <c r="I50" s="205">
        <f>IF(I49&gt;0,I49*(1+Retirement_Inputs!$B$15),IF((B50&lt;Retirement_Inputs!$B$11),0,Retirement_Inputs!$B$12*12))</f>
        <v>17733582.994607359</v>
      </c>
      <c r="J50" s="206">
        <f ca="1">SUMIF('Staggered Goals(All) Planner'!$B$51:$Z$51,YearlyCashFlow!B50,'Staggered Goals(All) Planner'!$B$58:$Z$58)</f>
        <v>0</v>
      </c>
      <c r="K50" s="101" t="str">
        <f ca="1">_xlfn.IFNA(HLOOKUP(B50,'Staggered Goals(All) Planner'!$B$51:$S$67, 16, FALSE),"")</f>
        <v/>
      </c>
      <c r="L50" s="205">
        <f t="shared" ca="1" si="7"/>
        <v>1150526.9044749355</v>
      </c>
      <c r="M50" s="178">
        <f ca="1">IF(Table1[[#This Row],[Yrs to go]]&lt;yr_to_ret, 0, IF(Table1[[#This Row],[Yrs to go]]&gt;time,0,SUM(C50,F50,I50,J50)-Table1[[#This Row],[Yearly Income from other sources]]))</f>
        <v>16583056.090132423</v>
      </c>
      <c r="N50" s="178">
        <f ca="1">PV(Retirement_Inputs!$B$16,Table1[[#This Row],[Yrs to go]],,-Table1[[#This Row],[Total Cash Required]])</f>
        <v>844847.55495812884</v>
      </c>
      <c r="W50" s="178">
        <f t="shared" ca="1" si="8"/>
        <v>1042526.9044749354</v>
      </c>
      <c r="X50" s="178">
        <f t="shared" ca="1" si="9"/>
        <v>0</v>
      </c>
      <c r="Y50" s="178">
        <f t="shared" ca="1" si="10"/>
        <v>48000</v>
      </c>
      <c r="Z50" s="178">
        <f t="shared" ca="1" si="11"/>
        <v>60000</v>
      </c>
    </row>
    <row r="51" spans="1:26" x14ac:dyDescent="0.25">
      <c r="A51" s="47">
        <f t="shared" ca="1" si="6"/>
        <v>2064</v>
      </c>
      <c r="B51" s="47">
        <f t="shared" si="5"/>
        <v>45</v>
      </c>
      <c r="C51" s="178" t="str">
        <f>_xlfn.IFNA(HLOOKUP(B51, 'Staggered Goals(All) Planner'!$B$6:$J$13, 8, FALSE),"")</f>
        <v/>
      </c>
      <c r="D51" t="str">
        <f>IF(Table1[[#This Row],[Yrs to go]]&lt;yr_to_ret,"",_xlfn.IFNA(HLOOKUP(B51, 'Staggered Goals(All) Planner'!$B$6:$J$21, 16, FALSE),""))</f>
        <v/>
      </c>
      <c r="F51" s="178" t="str">
        <f>_xlfn.IFNA(HLOOKUP(B51, 'Staggered Goals(All) Planner'!$B$28:$J$43, 8, FALSE),"")</f>
        <v/>
      </c>
      <c r="I51" s="205">
        <f>IF(I50&gt;0,I50*(1+Retirement_Inputs!$B$15),IF((B51&lt;Retirement_Inputs!$B$11),0,Retirement_Inputs!$B$12*12))</f>
        <v>19152269.634175949</v>
      </c>
      <c r="J51" s="206">
        <f ca="1">SUMIF('Staggered Goals(All) Planner'!$B$51:$Z$51,YearlyCashFlow!B51,'Staggered Goals(All) Planner'!$B$58:$Z$58)</f>
        <v>0</v>
      </c>
      <c r="K51" s="101" t="str">
        <f ca="1">_xlfn.IFNA(HLOOKUP(B51,'Staggered Goals(All) Planner'!$B$51:$S$67, 16, FALSE),"")</f>
        <v/>
      </c>
      <c r="L51" s="205">
        <f t="shared" ca="1" si="7"/>
        <v>1202653.2496986822</v>
      </c>
      <c r="M51" s="178">
        <f ca="1">IF(Table1[[#This Row],[Yrs to go]]&lt;yr_to_ret, 0, IF(Table1[[#This Row],[Yrs to go]]&gt;time,0,SUM(C51,F51,I51,J51)-Table1[[#This Row],[Yearly Income from other sources]]))</f>
        <v>17949616.384477265</v>
      </c>
      <c r="N51" s="178">
        <f ca="1">PV(Retirement_Inputs!$B$16,Table1[[#This Row],[Yrs to go]],,-Table1[[#This Row],[Total Cash Required]])</f>
        <v>854643.85733271227</v>
      </c>
      <c r="W51" s="178">
        <f t="shared" ca="1" si="8"/>
        <v>1094653.2496986822</v>
      </c>
      <c r="X51" s="178">
        <f t="shared" ca="1" si="9"/>
        <v>0</v>
      </c>
      <c r="Y51" s="178">
        <f t="shared" ca="1" si="10"/>
        <v>48000</v>
      </c>
      <c r="Z51" s="178">
        <f t="shared" ca="1" si="11"/>
        <v>60000</v>
      </c>
    </row>
    <row r="52" spans="1:26" x14ac:dyDescent="0.25">
      <c r="A52" s="47">
        <f t="shared" ca="1" si="6"/>
        <v>2065</v>
      </c>
      <c r="B52" s="47">
        <f t="shared" si="5"/>
        <v>46</v>
      </c>
      <c r="C52" s="178" t="str">
        <f>_xlfn.IFNA(HLOOKUP(B52, 'Staggered Goals(All) Planner'!$B$6:$J$13, 8, FALSE),"")</f>
        <v/>
      </c>
      <c r="D52" t="str">
        <f>IF(Table1[[#This Row],[Yrs to go]]&lt;yr_to_ret,"",_xlfn.IFNA(HLOOKUP(B52, 'Staggered Goals(All) Planner'!$B$6:$J$21, 16, FALSE),""))</f>
        <v/>
      </c>
      <c r="F52" s="178" t="str">
        <f>_xlfn.IFNA(HLOOKUP(B52, 'Staggered Goals(All) Planner'!$B$28:$J$43, 8, FALSE),"")</f>
        <v/>
      </c>
      <c r="I52" s="205">
        <f>IF(I51&gt;0,I51*(1+Retirement_Inputs!$B$15),IF((B52&lt;Retirement_Inputs!$B$11),0,Retirement_Inputs!$B$12*12))</f>
        <v>20684451.204910025</v>
      </c>
      <c r="J52" s="206">
        <f ca="1">SUMIF('Staggered Goals(All) Planner'!$B$51:$Z$51,YearlyCashFlow!B52,'Staggered Goals(All) Planner'!$B$58:$Z$58)</f>
        <v>0</v>
      </c>
      <c r="K52" s="101" t="str">
        <f ca="1">_xlfn.IFNA(HLOOKUP(B52,'Staggered Goals(All) Planner'!$B$51:$S$67, 16, FALSE),"")</f>
        <v/>
      </c>
      <c r="L52" s="205">
        <f t="shared" ca="1" si="7"/>
        <v>1257385.9121836163</v>
      </c>
      <c r="M52" s="178">
        <f ca="1">IF(Table1[[#This Row],[Yrs to go]]&lt;yr_to_ret, 0, IF(Table1[[#This Row],[Yrs to go]]&gt;time,0,SUM(C52,F52,I52,J52)-Table1[[#This Row],[Yearly Income from other sources]]))</f>
        <v>19427065.292726409</v>
      </c>
      <c r="N52" s="178">
        <f ca="1">PV(Retirement_Inputs!$B$16,Table1[[#This Row],[Yrs to go]],,-Table1[[#This Row],[Total Cash Required]])</f>
        <v>864476.96660445328</v>
      </c>
      <c r="W52" s="178">
        <f t="shared" ca="1" si="8"/>
        <v>1149385.9121836163</v>
      </c>
      <c r="X52" s="178">
        <f t="shared" ca="1" si="9"/>
        <v>0</v>
      </c>
      <c r="Y52" s="178">
        <f t="shared" ca="1" si="10"/>
        <v>48000</v>
      </c>
      <c r="Z52" s="178">
        <f t="shared" ca="1" si="11"/>
        <v>60000</v>
      </c>
    </row>
    <row r="53" spans="1:26" x14ac:dyDescent="0.25">
      <c r="A53" s="47">
        <f t="shared" ca="1" si="6"/>
        <v>2066</v>
      </c>
      <c r="B53" s="47">
        <f t="shared" si="5"/>
        <v>47</v>
      </c>
      <c r="C53" s="178" t="str">
        <f>_xlfn.IFNA(HLOOKUP(B53, 'Staggered Goals(All) Planner'!$B$6:$J$13, 8, FALSE),"")</f>
        <v/>
      </c>
      <c r="D53" t="str">
        <f>IF(Table1[[#This Row],[Yrs to go]]&lt;yr_to_ret,"",_xlfn.IFNA(HLOOKUP(B53, 'Staggered Goals(All) Planner'!$B$6:$J$21, 16, FALSE),""))</f>
        <v/>
      </c>
      <c r="F53" s="178" t="str">
        <f>_xlfn.IFNA(HLOOKUP(B53, 'Staggered Goals(All) Planner'!$B$28:$J$43, 8, FALSE),"")</f>
        <v/>
      </c>
      <c r="I53" s="205">
        <f>IF(I52&gt;0,I52*(1+Retirement_Inputs!$B$15),IF((B53&lt;Retirement_Inputs!$B$11),0,Retirement_Inputs!$B$12*12))</f>
        <v>22339207.301302828</v>
      </c>
      <c r="J53" s="206">
        <f ca="1">SUMIF('Staggered Goals(All) Planner'!$B$51:$Z$51,YearlyCashFlow!B53,'Staggered Goals(All) Planner'!$B$58:$Z$58)</f>
        <v>0</v>
      </c>
      <c r="K53" s="101" t="str">
        <f ca="1">_xlfn.IFNA(HLOOKUP(B53,'Staggered Goals(All) Planner'!$B$51:$S$67, 16, FALSE),"")</f>
        <v/>
      </c>
      <c r="L53" s="205">
        <f t="shared" ca="1" si="7"/>
        <v>1314855.2077927971</v>
      </c>
      <c r="M53" s="178">
        <f ca="1">IF(Table1[[#This Row],[Yrs to go]]&lt;yr_to_ret, 0, IF(Table1[[#This Row],[Yrs to go]]&gt;time,0,SUM(C53,F53,I53,J53)-Table1[[#This Row],[Yearly Income from other sources]]))</f>
        <v>21024352.093510032</v>
      </c>
      <c r="N53" s="178">
        <f ca="1">PV(Retirement_Inputs!$B$16,Table1[[#This Row],[Yrs to go]],,-Table1[[#This Row],[Total Cash Required]])</f>
        <v>874349.50768257899</v>
      </c>
      <c r="W53" s="178">
        <f t="shared" ca="1" si="8"/>
        <v>1206855.2077927971</v>
      </c>
      <c r="X53" s="178">
        <f t="shared" ca="1" si="9"/>
        <v>0</v>
      </c>
      <c r="Y53" s="178">
        <f t="shared" ca="1" si="10"/>
        <v>48000</v>
      </c>
      <c r="Z53" s="178">
        <f t="shared" ca="1" si="11"/>
        <v>60000</v>
      </c>
    </row>
    <row r="54" spans="1:26" x14ac:dyDescent="0.25">
      <c r="A54" s="47">
        <f t="shared" ca="1" si="6"/>
        <v>2067</v>
      </c>
      <c r="B54" s="47">
        <f t="shared" si="5"/>
        <v>48</v>
      </c>
      <c r="C54" s="178" t="str">
        <f>_xlfn.IFNA(HLOOKUP(B54, 'Staggered Goals(All) Planner'!$B$6:$J$13, 8, FALSE),"")</f>
        <v/>
      </c>
      <c r="D54" t="str">
        <f>IF(Table1[[#This Row],[Yrs to go]]&lt;yr_to_ret,"",_xlfn.IFNA(HLOOKUP(B54, 'Staggered Goals(All) Planner'!$B$6:$J$21, 16, FALSE),""))</f>
        <v/>
      </c>
      <c r="F54" s="178" t="str">
        <f>_xlfn.IFNA(HLOOKUP(B54, 'Staggered Goals(All) Planner'!$B$28:$J$43, 8, FALSE),"")</f>
        <v/>
      </c>
      <c r="I54" s="205">
        <f>IF(I53&gt;0,I53*(1+Retirement_Inputs!$B$15),IF((B54&lt;Retirement_Inputs!$B$11),0,Retirement_Inputs!$B$12*12))</f>
        <v>24126343.885407057</v>
      </c>
      <c r="J54" s="206">
        <f ca="1">SUMIF('Staggered Goals(All) Planner'!$B$51:$Z$51,YearlyCashFlow!B54,'Staggered Goals(All) Planner'!$B$58:$Z$58)</f>
        <v>0</v>
      </c>
      <c r="K54" s="101" t="str">
        <f ca="1">_xlfn.IFNA(HLOOKUP(B54,'Staggered Goals(All) Planner'!$B$51:$S$67, 16, FALSE),"")</f>
        <v/>
      </c>
      <c r="L54" s="205">
        <f t="shared" ca="1" si="7"/>
        <v>1375197.9681824367</v>
      </c>
      <c r="M54" s="178">
        <f ca="1">IF(Table1[[#This Row],[Yrs to go]]&lt;yr_to_ret, 0, IF(Table1[[#This Row],[Yrs to go]]&gt;time,0,SUM(C54,F54,I54,J54)-Table1[[#This Row],[Yearly Income from other sources]]))</f>
        <v>22751145.91722462</v>
      </c>
      <c r="N54" s="178">
        <f ca="1">PV(Retirement_Inputs!$B$16,Table1[[#This Row],[Yrs to go]],,-Table1[[#This Row],[Total Cash Required]])</f>
        <v>884264.00510094815</v>
      </c>
      <c r="W54" s="178">
        <f t="shared" ca="1" si="8"/>
        <v>1267197.9681824367</v>
      </c>
      <c r="X54" s="178">
        <f t="shared" ca="1" si="9"/>
        <v>0</v>
      </c>
      <c r="Y54" s="178">
        <f t="shared" ca="1" si="10"/>
        <v>48000</v>
      </c>
      <c r="Z54" s="178">
        <f t="shared" ca="1" si="11"/>
        <v>60000</v>
      </c>
    </row>
    <row r="55" spans="1:26" x14ac:dyDescent="0.25">
      <c r="A55" s="47">
        <f t="shared" ca="1" si="6"/>
        <v>2068</v>
      </c>
      <c r="B55" s="47">
        <f t="shared" si="5"/>
        <v>49</v>
      </c>
      <c r="C55" s="178" t="str">
        <f>_xlfn.IFNA(HLOOKUP(B55, 'Staggered Goals(All) Planner'!$B$6:$J$13, 8, FALSE),"")</f>
        <v/>
      </c>
      <c r="D55" t="str">
        <f>IF(Table1[[#This Row],[Yrs to go]]&lt;yr_to_ret,"",_xlfn.IFNA(HLOOKUP(B55, 'Staggered Goals(All) Planner'!$B$6:$J$21, 16, FALSE),""))</f>
        <v/>
      </c>
      <c r="F55" s="178" t="str">
        <f>_xlfn.IFNA(HLOOKUP(B55, 'Staggered Goals(All) Planner'!$B$28:$J$43, 8, FALSE),"")</f>
        <v/>
      </c>
      <c r="I55" s="205">
        <f>IF(I54&gt;0,I54*(1+Retirement_Inputs!$B$15),IF((B55&lt;Retirement_Inputs!$B$11),0,Retirement_Inputs!$B$12*12))</f>
        <v>26056451.396239623</v>
      </c>
      <c r="J55" s="206">
        <f ca="1">SUMIF('Staggered Goals(All) Planner'!$B$51:$Z$51,YearlyCashFlow!B55,'Staggered Goals(All) Planner'!$B$58:$Z$58)</f>
        <v>0</v>
      </c>
      <c r="K55" s="101" t="str">
        <f ca="1">_xlfn.IFNA(HLOOKUP(B55,'Staggered Goals(All) Planner'!$B$51:$S$67, 16, FALSE),"")</f>
        <v/>
      </c>
      <c r="L55" s="205">
        <f t="shared" ca="1" si="7"/>
        <v>1438557.8665915588</v>
      </c>
      <c r="M55" s="178">
        <f ca="1">IF(Table1[[#This Row],[Yrs to go]]&lt;yr_to_ret, 0, IF(Table1[[#This Row],[Yrs to go]]&gt;time,0,SUM(C55,F55,I55,J55)-Table1[[#This Row],[Yearly Income from other sources]]))</f>
        <v>24617893.529648066</v>
      </c>
      <c r="N55" s="178">
        <f ca="1">PV(Retirement_Inputs!$B$16,Table1[[#This Row],[Yrs to go]],,-Table1[[#This Row],[Total Cash Required]])</f>
        <v>894222.8897970384</v>
      </c>
      <c r="W55" s="178">
        <f t="shared" ca="1" si="8"/>
        <v>1330557.8665915588</v>
      </c>
      <c r="X55" s="178">
        <f t="shared" ca="1" si="9"/>
        <v>0</v>
      </c>
      <c r="Y55" s="178">
        <f t="shared" ca="1" si="10"/>
        <v>48000</v>
      </c>
      <c r="Z55" s="178">
        <f t="shared" ca="1" si="11"/>
        <v>60000</v>
      </c>
    </row>
    <row r="56" spans="1:26" x14ac:dyDescent="0.25">
      <c r="A56" s="47">
        <f t="shared" ca="1" si="6"/>
        <v>2069</v>
      </c>
      <c r="B56" s="47">
        <f t="shared" si="5"/>
        <v>50</v>
      </c>
      <c r="C56" s="178" t="str">
        <f>_xlfn.IFNA(HLOOKUP(B56, 'Staggered Goals(All) Planner'!$B$6:$J$13, 8, FALSE),"")</f>
        <v/>
      </c>
      <c r="D56" t="str">
        <f>IF(Table1[[#This Row],[Yrs to go]]&lt;yr_to_ret,"",_xlfn.IFNA(HLOOKUP(B56, 'Staggered Goals(All) Planner'!$B$6:$J$21, 16, FALSE),""))</f>
        <v/>
      </c>
      <c r="F56" s="178" t="str">
        <f>_xlfn.IFNA(HLOOKUP(B56, 'Staggered Goals(All) Planner'!$B$28:$J$43, 8, FALSE),"")</f>
        <v/>
      </c>
      <c r="I56" s="205">
        <f>IF(I55&gt;0,I55*(1+Retirement_Inputs!$B$15),IF((B56&lt;Retirement_Inputs!$B$11),0,Retirement_Inputs!$B$12*12))</f>
        <v>28140967.507938795</v>
      </c>
      <c r="J56" s="206">
        <f ca="1">SUMIF('Staggered Goals(All) Planner'!$B$51:$Z$51,YearlyCashFlow!B56,'Staggered Goals(All) Planner'!$B$58:$Z$58)</f>
        <v>0</v>
      </c>
      <c r="K56" s="101" t="str">
        <f ca="1">_xlfn.IFNA(HLOOKUP(B56,'Staggered Goals(All) Planner'!$B$51:$S$67, 16, FALSE),"")</f>
        <v/>
      </c>
      <c r="L56" s="205">
        <f t="shared" ca="1" si="7"/>
        <v>1505085.7599211368</v>
      </c>
      <c r="M56" s="178">
        <f ca="1">IF(Table1[[#This Row],[Yrs to go]]&lt;yr_to_ret, 0, IF(Table1[[#This Row],[Yrs to go]]&gt;time,0,SUM(C56,F56,I56,J56)-Table1[[#This Row],[Yearly Income from other sources]]))</f>
        <v>26635881.748017658</v>
      </c>
      <c r="N56" s="178">
        <f ca="1">PV(Retirement_Inputs!$B$16,Table1[[#This Row],[Yrs to go]],,-Table1[[#This Row],[Total Cash Required]])</f>
        <v>904228.50545792596</v>
      </c>
      <c r="W56" s="178">
        <f t="shared" ca="1" si="8"/>
        <v>1397085.7599211368</v>
      </c>
      <c r="X56" s="178">
        <f t="shared" ca="1" si="9"/>
        <v>0</v>
      </c>
      <c r="Y56" s="178">
        <f t="shared" ca="1" si="10"/>
        <v>48000</v>
      </c>
      <c r="Z56" s="178">
        <f t="shared" ca="1" si="11"/>
        <v>60000</v>
      </c>
    </row>
    <row r="57" spans="1:26" x14ac:dyDescent="0.25">
      <c r="A57" s="47">
        <f t="shared" ca="1" si="6"/>
        <v>2070</v>
      </c>
      <c r="B57" s="47">
        <f t="shared" si="5"/>
        <v>51</v>
      </c>
      <c r="C57" s="178" t="str">
        <f>_xlfn.IFNA(HLOOKUP(B57, 'Staggered Goals(All) Planner'!$B$6:$J$13, 8, FALSE),"")</f>
        <v/>
      </c>
      <c r="D57" t="str">
        <f>IF(Table1[[#This Row],[Yrs to go]]&lt;yr_to_ret,"",_xlfn.IFNA(HLOOKUP(B57, 'Staggered Goals(All) Planner'!$B$6:$J$21, 16, FALSE),""))</f>
        <v/>
      </c>
      <c r="F57" s="178" t="str">
        <f>_xlfn.IFNA(HLOOKUP(B57, 'Staggered Goals(All) Planner'!$B$28:$J$43, 8, FALSE),"")</f>
        <v/>
      </c>
      <c r="I57" s="205">
        <f>IF(I56&gt;0,I56*(1+Retirement_Inputs!$B$15),IF((B57&lt;Retirement_Inputs!$B$11),0,Retirement_Inputs!$B$12*12))</f>
        <v>30392244.908573899</v>
      </c>
      <c r="J57" s="206">
        <f ca="1">SUMIF('Staggered Goals(All) Planner'!$B$51:$Z$51,YearlyCashFlow!B57,'Staggered Goals(All) Planner'!$B$58:$Z$58)</f>
        <v>0</v>
      </c>
      <c r="K57" s="101" t="str">
        <f ca="1">_xlfn.IFNA(HLOOKUP(B57,'Staggered Goals(All) Planner'!$B$51:$S$67, 16, FALSE),"")</f>
        <v/>
      </c>
      <c r="L57" s="205">
        <f t="shared" ca="1" si="7"/>
        <v>1574940.0479171937</v>
      </c>
      <c r="M57" s="178">
        <f ca="1">IF(Table1[[#This Row],[Yrs to go]]&lt;yr_to_ret, 0, IF(Table1[[#This Row],[Yrs to go]]&gt;time,0,SUM(C57,F57,I57,J57)-Table1[[#This Row],[Yearly Income from other sources]]))</f>
        <v>28817304.860656705</v>
      </c>
      <c r="N57" s="178">
        <f ca="1">PV(Retirement_Inputs!$B$16,Table1[[#This Row],[Yrs to go]],,-Table1[[#This Row],[Total Cash Required]])</f>
        <v>914283.11446152884</v>
      </c>
      <c r="W57" s="178">
        <f t="shared" ca="1" si="8"/>
        <v>1466940.0479171937</v>
      </c>
      <c r="X57" s="178">
        <f t="shared" ca="1" si="9"/>
        <v>0</v>
      </c>
      <c r="Y57" s="178">
        <f t="shared" ca="1" si="10"/>
        <v>48000</v>
      </c>
      <c r="Z57" s="178">
        <f t="shared" ca="1" si="11"/>
        <v>60000</v>
      </c>
    </row>
    <row r="58" spans="1:26" x14ac:dyDescent="0.25">
      <c r="A58" s="47">
        <f t="shared" ca="1" si="6"/>
        <v>2071</v>
      </c>
      <c r="B58" s="47">
        <f t="shared" si="5"/>
        <v>52</v>
      </c>
      <c r="C58" s="178" t="str">
        <f>_xlfn.IFNA(HLOOKUP(B58, 'Staggered Goals(All) Planner'!$B$6:$J$13, 8, FALSE),"")</f>
        <v/>
      </c>
      <c r="D58" t="str">
        <f>IF(Table1[[#This Row],[Yrs to go]]&lt;yr_to_ret,"",_xlfn.IFNA(HLOOKUP(B58, 'Staggered Goals(All) Planner'!$B$6:$J$21, 16, FALSE),""))</f>
        <v/>
      </c>
      <c r="F58" s="178" t="str">
        <f>_xlfn.IFNA(HLOOKUP(B58, 'Staggered Goals(All) Planner'!$B$28:$J$43, 8, FALSE),"")</f>
        <v/>
      </c>
      <c r="I58" s="205">
        <f>IF(I57&gt;0,I57*(1+Retirement_Inputs!$B$15),IF((B58&lt;Retirement_Inputs!$B$11),0,Retirement_Inputs!$B$12*12))</f>
        <v>32823624.501259815</v>
      </c>
      <c r="J58" s="206">
        <f ca="1">SUMIF('Staggered Goals(All) Planner'!$B$51:$Z$51,YearlyCashFlow!B58,'Staggered Goals(All) Planner'!$B$58:$Z$58)</f>
        <v>0</v>
      </c>
      <c r="K58" s="101" t="str">
        <f ca="1">_xlfn.IFNA(HLOOKUP(B58,'Staggered Goals(All) Planner'!$B$51:$S$67, 16, FALSE),"")</f>
        <v/>
      </c>
      <c r="L58" s="205">
        <f t="shared" ca="1" si="7"/>
        <v>1648287.0503130532</v>
      </c>
      <c r="M58" s="178">
        <f ca="1">IF(Table1[[#This Row],[Yrs to go]]&lt;yr_to_ret, 0, IF(Table1[[#This Row],[Yrs to go]]&gt;time,0,SUM(C58,F58,I58,J58)-Table1[[#This Row],[Yearly Income from other sources]]))</f>
        <v>31175337.450946763</v>
      </c>
      <c r="N58" s="178">
        <f ca="1">PV(Retirement_Inputs!$B$16,Table1[[#This Row],[Yrs to go]],,-Table1[[#This Row],[Total Cash Required]])</f>
        <v>924388.9034395268</v>
      </c>
      <c r="W58" s="178">
        <f t="shared" ca="1" si="8"/>
        <v>1540287.0503130532</v>
      </c>
      <c r="X58" s="178">
        <f t="shared" ca="1" si="9"/>
        <v>0</v>
      </c>
      <c r="Y58" s="178">
        <f t="shared" ca="1" si="10"/>
        <v>48000</v>
      </c>
      <c r="Z58" s="178">
        <f t="shared" ca="1" si="11"/>
        <v>60000</v>
      </c>
    </row>
    <row r="59" spans="1:26" x14ac:dyDescent="0.25">
      <c r="A59" s="47">
        <f t="shared" ca="1" si="6"/>
        <v>2072</v>
      </c>
      <c r="B59" s="47">
        <f t="shared" si="5"/>
        <v>53</v>
      </c>
      <c r="C59" s="178" t="str">
        <f>_xlfn.IFNA(HLOOKUP(B59, 'Staggered Goals(All) Planner'!$B$6:$J$13, 8, FALSE),"")</f>
        <v/>
      </c>
      <c r="D59" t="str">
        <f>IF(Table1[[#This Row],[Yrs to go]]&lt;yr_to_ret,"",_xlfn.IFNA(HLOOKUP(B59, 'Staggered Goals(All) Planner'!$B$6:$J$21, 16, FALSE),""))</f>
        <v/>
      </c>
      <c r="F59" s="178" t="str">
        <f>_xlfn.IFNA(HLOOKUP(B59, 'Staggered Goals(All) Planner'!$B$28:$J$43, 8, FALSE),"")</f>
        <v/>
      </c>
      <c r="I59" s="205">
        <f>IF(I58&gt;0,I58*(1+Retirement_Inputs!$B$15),IF((B59&lt;Retirement_Inputs!$B$11),0,Retirement_Inputs!$B$12*12))</f>
        <v>35449514.461360604</v>
      </c>
      <c r="J59" s="206">
        <f ca="1">SUMIF('Staggered Goals(All) Planner'!$B$51:$Z$51,YearlyCashFlow!B59,'Staggered Goals(All) Planner'!$B$58:$Z$58)</f>
        <v>0</v>
      </c>
      <c r="K59" s="101" t="str">
        <f ca="1">_xlfn.IFNA(HLOOKUP(B59,'Staggered Goals(All) Planner'!$B$51:$S$67, 16, FALSE),"")</f>
        <v/>
      </c>
      <c r="L59" s="205">
        <f t="shared" ca="1" si="7"/>
        <v>0</v>
      </c>
      <c r="M59" s="178">
        <f ca="1">IF(Table1[[#This Row],[Yrs to go]]&lt;yr_to_ret, 0, IF(Table1[[#This Row],[Yrs to go]]&gt;time,0,SUM(C59,F59,I59,J59)-Table1[[#This Row],[Yearly Income from other sources]]))</f>
        <v>35449514.461360604</v>
      </c>
      <c r="N59" s="178">
        <f ca="1">PV(Retirement_Inputs!$B$16,Table1[[#This Row],[Yrs to go]],,-Table1[[#This Row],[Total Cash Required]])</f>
        <v>982358.6505990182</v>
      </c>
      <c r="W59" s="178">
        <f t="shared" ca="1" si="8"/>
        <v>0</v>
      </c>
      <c r="X59" s="178">
        <f t="shared" ca="1" si="9"/>
        <v>0</v>
      </c>
      <c r="Y59" s="178">
        <f t="shared" ca="1" si="10"/>
        <v>0</v>
      </c>
      <c r="Z59" s="178">
        <f t="shared" ca="1" si="11"/>
        <v>0</v>
      </c>
    </row>
    <row r="60" spans="1:26" x14ac:dyDescent="0.25">
      <c r="A60" s="47">
        <f t="shared" ca="1" si="6"/>
        <v>2073</v>
      </c>
      <c r="B60" s="47">
        <f t="shared" si="5"/>
        <v>54</v>
      </c>
      <c r="C60" s="178" t="str">
        <f>_xlfn.IFNA(HLOOKUP(B60, 'Staggered Goals(All) Planner'!$B$6:$J$13, 8, FALSE),"")</f>
        <v/>
      </c>
      <c r="D60" t="str">
        <f>IF(Table1[[#This Row],[Yrs to go]]&lt;yr_to_ret,"",_xlfn.IFNA(HLOOKUP(B60, 'Staggered Goals(All) Planner'!$B$6:$J$21, 16, FALSE),""))</f>
        <v/>
      </c>
      <c r="F60" s="178" t="str">
        <f>_xlfn.IFNA(HLOOKUP(B60, 'Staggered Goals(All) Planner'!$B$28:$J$43, 8, FALSE),"")</f>
        <v/>
      </c>
      <c r="I60" s="205">
        <f>IF(I59&gt;0,I59*(1+Retirement_Inputs!$B$15),IF((B60&lt;Retirement_Inputs!$B$11),0,Retirement_Inputs!$B$12*12))</f>
        <v>38285475.618269451</v>
      </c>
      <c r="J60" s="206">
        <f ca="1">SUMIF('Staggered Goals(All) Planner'!$B$51:$Z$51,YearlyCashFlow!B60,'Staggered Goals(All) Planner'!$B$58:$Z$58)</f>
        <v>0</v>
      </c>
      <c r="K60" s="101" t="str">
        <f ca="1">_xlfn.IFNA(HLOOKUP(B60,'Staggered Goals(All) Planner'!$B$51:$S$67, 16, FALSE),"")</f>
        <v/>
      </c>
      <c r="L60" s="205">
        <f t="shared" ca="1" si="7"/>
        <v>0</v>
      </c>
      <c r="M60" s="178">
        <f>IF(Table1[[#This Row],[Yrs to go]]&lt;yr_to_ret, 0, IF(Table1[[#This Row],[Yrs to go]]&gt;time,0,SUM(C60,F60,I60,J60)-Table1[[#This Row],[Yearly Income from other sources]]))</f>
        <v>0</v>
      </c>
      <c r="N60" s="178">
        <f>PV(Retirement_Inputs!$B$16,Table1[[#This Row],[Yrs to go]],,-Table1[[#This Row],[Total Cash Required]])</f>
        <v>0</v>
      </c>
      <c r="W60" s="178">
        <f t="shared" ca="1" si="8"/>
        <v>0</v>
      </c>
      <c r="X60" s="178">
        <f t="shared" ca="1" si="9"/>
        <v>0</v>
      </c>
      <c r="Y60" s="178">
        <f t="shared" ca="1" si="10"/>
        <v>0</v>
      </c>
      <c r="Z60" s="178">
        <f t="shared" ca="1" si="11"/>
        <v>0</v>
      </c>
    </row>
    <row r="61" spans="1:26" x14ac:dyDescent="0.25">
      <c r="A61" s="47">
        <f t="shared" ca="1" si="6"/>
        <v>2074</v>
      </c>
      <c r="B61" s="47">
        <f t="shared" si="5"/>
        <v>55</v>
      </c>
      <c r="C61" s="178" t="str">
        <f>_xlfn.IFNA(HLOOKUP(B61, 'Staggered Goals(All) Planner'!$B$6:$J$13, 8, FALSE),"")</f>
        <v/>
      </c>
      <c r="D61" t="str">
        <f>IF(Table1[[#This Row],[Yrs to go]]&lt;yr_to_ret,"",_xlfn.IFNA(HLOOKUP(B61, 'Staggered Goals(All) Planner'!$B$6:$J$21, 16, FALSE),""))</f>
        <v/>
      </c>
      <c r="F61" s="178" t="str">
        <f>_xlfn.IFNA(HLOOKUP(B61, 'Staggered Goals(All) Planner'!$B$28:$J$43, 8, FALSE),"")</f>
        <v/>
      </c>
      <c r="I61" s="205">
        <f>IF(I60&gt;0,I60*(1+Retirement_Inputs!$B$15),IF((B61&lt;Retirement_Inputs!$B$11),0,Retirement_Inputs!$B$12*12))</f>
        <v>41348313.667731009</v>
      </c>
      <c r="J61" s="206">
        <f ca="1">SUMIF('Staggered Goals(All) Planner'!$B$51:$Z$51,YearlyCashFlow!B61,'Staggered Goals(All) Planner'!$B$58:$Z$58)</f>
        <v>0</v>
      </c>
      <c r="K61" s="101" t="str">
        <f ca="1">_xlfn.IFNA(HLOOKUP(B61,'Staggered Goals(All) Planner'!$B$51:$S$67, 16, FALSE),"")</f>
        <v/>
      </c>
      <c r="L61" s="205">
        <f t="shared" ca="1" si="7"/>
        <v>0</v>
      </c>
      <c r="M61" s="178">
        <f>IF(Table1[[#This Row],[Yrs to go]]&lt;yr_to_ret, 0, IF(Table1[[#This Row],[Yrs to go]]&gt;time,0,SUM(C61,F61,I61,J61)-Table1[[#This Row],[Yearly Income from other sources]]))</f>
        <v>0</v>
      </c>
      <c r="N61" s="178">
        <f>PV(Retirement_Inputs!$B$16,Table1[[#This Row],[Yrs to go]],,-Table1[[#This Row],[Total Cash Required]])</f>
        <v>0</v>
      </c>
      <c r="W61" s="178">
        <f t="shared" ca="1" si="8"/>
        <v>0</v>
      </c>
      <c r="X61" s="178">
        <f t="shared" ca="1" si="9"/>
        <v>0</v>
      </c>
      <c r="Y61" s="178">
        <f t="shared" ca="1" si="10"/>
        <v>0</v>
      </c>
      <c r="Z61" s="178">
        <f t="shared" ca="1" si="11"/>
        <v>0</v>
      </c>
    </row>
    <row r="62" spans="1:26" x14ac:dyDescent="0.25">
      <c r="A62" s="47">
        <f t="shared" ca="1" si="6"/>
        <v>2075</v>
      </c>
      <c r="B62" s="47">
        <f t="shared" si="5"/>
        <v>56</v>
      </c>
      <c r="C62" s="178" t="str">
        <f>_xlfn.IFNA(HLOOKUP(B62, 'Staggered Goals(All) Planner'!$B$6:$J$13, 8, FALSE),"")</f>
        <v/>
      </c>
      <c r="D62" t="str">
        <f>IF(Table1[[#This Row],[Yrs to go]]&lt;yr_to_ret,"",_xlfn.IFNA(HLOOKUP(B62, 'Staggered Goals(All) Planner'!$B$6:$J$21, 16, FALSE),""))</f>
        <v/>
      </c>
      <c r="F62" s="178" t="str">
        <f>_xlfn.IFNA(HLOOKUP(B62, 'Staggered Goals(All) Planner'!$B$28:$J$43, 8, FALSE),"")</f>
        <v/>
      </c>
      <c r="I62" s="205">
        <f>IF(I61&gt;0,I61*(1+Retirement_Inputs!$B$15),IF((B62&lt;Retirement_Inputs!$B$11),0,Retirement_Inputs!$B$12*12))</f>
        <v>44656178.761149496</v>
      </c>
      <c r="J62" s="206">
        <f ca="1">SUMIF('Staggered Goals(All) Planner'!$B$51:$Z$51,YearlyCashFlow!B62,'Staggered Goals(All) Planner'!$B$58:$Z$58)</f>
        <v>0</v>
      </c>
      <c r="K62" s="101" t="str">
        <f ca="1">_xlfn.IFNA(HLOOKUP(B62,'Staggered Goals(All) Planner'!$B$51:$S$67, 16, FALSE),"")</f>
        <v/>
      </c>
      <c r="L62" s="205">
        <f t="shared" ca="1" si="7"/>
        <v>0</v>
      </c>
      <c r="M62" s="178">
        <f>IF(Table1[[#This Row],[Yrs to go]]&lt;yr_to_ret, 0, IF(Table1[[#This Row],[Yrs to go]]&gt;time,0,SUM(C62,F62,I62,J62)-Table1[[#This Row],[Yearly Income from other sources]]))</f>
        <v>0</v>
      </c>
      <c r="N62" s="178">
        <f>PV(Retirement_Inputs!$B$16,Table1[[#This Row],[Yrs to go]],,-Table1[[#This Row],[Total Cash Required]])</f>
        <v>0</v>
      </c>
      <c r="W62" s="178">
        <f t="shared" ca="1" si="8"/>
        <v>0</v>
      </c>
      <c r="X62" s="178">
        <f t="shared" ca="1" si="9"/>
        <v>0</v>
      </c>
      <c r="Y62" s="178">
        <f t="shared" ca="1" si="10"/>
        <v>0</v>
      </c>
      <c r="Z62" s="178">
        <f t="shared" ca="1" si="11"/>
        <v>0</v>
      </c>
    </row>
    <row r="63" spans="1:26" x14ac:dyDescent="0.25">
      <c r="A63" s="47">
        <f t="shared" ca="1" si="6"/>
        <v>2076</v>
      </c>
      <c r="B63" s="47">
        <f t="shared" si="5"/>
        <v>57</v>
      </c>
      <c r="C63" s="178" t="str">
        <f>_xlfn.IFNA(HLOOKUP(B63, 'Staggered Goals(All) Planner'!$B$6:$J$13, 8, FALSE),"")</f>
        <v/>
      </c>
      <c r="D63" t="str">
        <f>IF(Table1[[#This Row],[Yrs to go]]&lt;yr_to_ret,"",_xlfn.IFNA(HLOOKUP(B63, 'Staggered Goals(All) Planner'!$B$6:$J$21, 16, FALSE),""))</f>
        <v/>
      </c>
      <c r="F63" s="178" t="str">
        <f>_xlfn.IFNA(HLOOKUP(B63, 'Staggered Goals(All) Planner'!$B$28:$J$43, 8, FALSE),"")</f>
        <v/>
      </c>
      <c r="I63" s="205">
        <f>IF(I62&gt;0,I62*(1+Retirement_Inputs!$B$15),IF((B63&lt;Retirement_Inputs!$B$11),0,Retirement_Inputs!$B$12*12))</f>
        <v>48228673.062041461</v>
      </c>
      <c r="J63" s="206">
        <f ca="1">SUMIF('Staggered Goals(All) Planner'!$B$51:$Z$51,YearlyCashFlow!B63,'Staggered Goals(All) Planner'!$B$58:$Z$58)</f>
        <v>0</v>
      </c>
      <c r="K63" s="101" t="str">
        <f ca="1">_xlfn.IFNA(HLOOKUP(B63,'Staggered Goals(All) Planner'!$B$51:$S$67, 16, FALSE),"")</f>
        <v/>
      </c>
      <c r="L63" s="205">
        <f t="shared" ca="1" si="7"/>
        <v>0</v>
      </c>
      <c r="M63" s="178">
        <f>IF(Table1[[#This Row],[Yrs to go]]&lt;yr_to_ret, 0, IF(Table1[[#This Row],[Yrs to go]]&gt;time,0,SUM(C63,F63,I63,J63)-Table1[[#This Row],[Yearly Income from other sources]]))</f>
        <v>0</v>
      </c>
      <c r="N63" s="178">
        <f>PV(Retirement_Inputs!$B$16,Table1[[#This Row],[Yrs to go]],,-Table1[[#This Row],[Total Cash Required]])</f>
        <v>0</v>
      </c>
      <c r="W63" s="178">
        <f t="shared" ca="1" si="8"/>
        <v>0</v>
      </c>
      <c r="X63" s="178">
        <f t="shared" ca="1" si="9"/>
        <v>0</v>
      </c>
      <c r="Y63" s="178">
        <f t="shared" ca="1" si="10"/>
        <v>0</v>
      </c>
      <c r="Z63" s="178">
        <f t="shared" ca="1" si="11"/>
        <v>0</v>
      </c>
    </row>
    <row r="64" spans="1:26" x14ac:dyDescent="0.25">
      <c r="A64" s="47">
        <f t="shared" ref="A64:A75" ca="1" si="12">A63+1</f>
        <v>2077</v>
      </c>
      <c r="B64" s="47">
        <f t="shared" ref="B64:B75" si="13">B63+1</f>
        <v>58</v>
      </c>
      <c r="C64" s="178" t="str">
        <f>_xlfn.IFNA(HLOOKUP(B64, 'Staggered Goals(All) Planner'!$B$6:$J$13, 8, FALSE),"")</f>
        <v/>
      </c>
      <c r="F64" s="178" t="str">
        <f>_xlfn.IFNA(HLOOKUP(B64, 'Staggered Goals(All) Planner'!$B$28:$J$43, 8, FALSE),"")</f>
        <v/>
      </c>
      <c r="I64" s="205">
        <f>IF(I63&gt;0,I63*(1+Retirement_Inputs!$B$15),IF((B64&lt;Retirement_Inputs!$B$11),0,Retirement_Inputs!$B$12*12))</f>
        <v>52086966.907004781</v>
      </c>
      <c r="J64" s="269">
        <f ca="1">SUMIF('Staggered Goals(All) Planner'!$B$51:$Z$51,YearlyCashFlow!B64,'Staggered Goals(All) Planner'!$B$58:$Z$58)</f>
        <v>0</v>
      </c>
      <c r="K64" s="101" t="str">
        <f ca="1">_xlfn.IFNA(HLOOKUP(B64,'Staggered Goals(All) Planner'!$B$51:$S$67, 16, FALSE),"")</f>
        <v/>
      </c>
      <c r="L64" s="205">
        <f t="shared" ca="1" si="7"/>
        <v>0</v>
      </c>
      <c r="M64" s="216">
        <f>IF(Table1[[#This Row],[Yrs to go]]&lt;yr_to_ret, 0, IF(Table1[[#This Row],[Yrs to go]]&gt;time,0,SUM(C64,F64,I64,J64)-Table1[[#This Row],[Yearly Income from other sources]]))</f>
        <v>0</v>
      </c>
      <c r="N64" s="215">
        <f>PV(Retirement_Inputs!$B$16,Table1[[#This Row],[Yrs to go]],,-Table1[[#This Row],[Total Cash Required]])</f>
        <v>0</v>
      </c>
      <c r="W64" s="178">
        <f t="shared" ca="1" si="8"/>
        <v>0</v>
      </c>
      <c r="X64" s="178">
        <f t="shared" ca="1" si="9"/>
        <v>0</v>
      </c>
      <c r="Y64" s="178">
        <f t="shared" ca="1" si="10"/>
        <v>0</v>
      </c>
      <c r="Z64" s="178">
        <f t="shared" ca="1" si="11"/>
        <v>0</v>
      </c>
    </row>
    <row r="65" spans="1:26" x14ac:dyDescent="0.25">
      <c r="A65" s="47">
        <f t="shared" ca="1" si="12"/>
        <v>2078</v>
      </c>
      <c r="B65" s="47">
        <f t="shared" si="13"/>
        <v>59</v>
      </c>
      <c r="C65" s="178" t="str">
        <f>_xlfn.IFNA(HLOOKUP(B65, 'Staggered Goals(All) Planner'!$B$6:$J$13, 8, FALSE),"")</f>
        <v/>
      </c>
      <c r="F65" s="178" t="str">
        <f>_xlfn.IFNA(HLOOKUP(B65, 'Staggered Goals(All) Planner'!$B$28:$J$43, 8, FALSE),"")</f>
        <v/>
      </c>
      <c r="I65" s="205">
        <f>IF(I64&gt;0,I64*(1+Retirement_Inputs!$B$15),IF((B65&lt;Retirement_Inputs!$B$11),0,Retirement_Inputs!$B$12*12))</f>
        <v>56253924.259565167</v>
      </c>
      <c r="J65" s="269">
        <f ca="1">SUMIF('Staggered Goals(All) Planner'!$B$51:$Z$51,YearlyCashFlow!B65,'Staggered Goals(All) Planner'!$B$58:$Z$58)</f>
        <v>0</v>
      </c>
      <c r="K65" s="101" t="str">
        <f ca="1">_xlfn.IFNA(HLOOKUP(B65,'Staggered Goals(All) Planner'!$B$51:$S$67, 16, FALSE),"")</f>
        <v/>
      </c>
      <c r="L65" s="205">
        <f t="shared" ca="1" si="7"/>
        <v>0</v>
      </c>
      <c r="M65" s="216">
        <f>IF(Table1[[#This Row],[Yrs to go]]&lt;yr_to_ret, 0, IF(Table1[[#This Row],[Yrs to go]]&gt;time,0,SUM(C65,F65,I65,J65)-Table1[[#This Row],[Yearly Income from other sources]]))</f>
        <v>0</v>
      </c>
      <c r="N65" s="215">
        <f>PV(Retirement_Inputs!$B$16,Table1[[#This Row],[Yrs to go]],,-Table1[[#This Row],[Total Cash Required]])</f>
        <v>0</v>
      </c>
      <c r="W65" s="178">
        <f t="shared" ca="1" si="8"/>
        <v>0</v>
      </c>
      <c r="X65" s="178">
        <f t="shared" ca="1" si="9"/>
        <v>0</v>
      </c>
      <c r="Y65" s="178">
        <f t="shared" ca="1" si="10"/>
        <v>0</v>
      </c>
      <c r="Z65" s="178">
        <f t="shared" ca="1" si="11"/>
        <v>0</v>
      </c>
    </row>
    <row r="66" spans="1:26" x14ac:dyDescent="0.25">
      <c r="A66" s="47">
        <f t="shared" ca="1" si="12"/>
        <v>2079</v>
      </c>
      <c r="B66" s="47">
        <f t="shared" si="13"/>
        <v>60</v>
      </c>
      <c r="C66" s="178" t="str">
        <f>_xlfn.IFNA(HLOOKUP(B66, 'Staggered Goals(All) Planner'!$B$6:$J$13, 8, FALSE),"")</f>
        <v/>
      </c>
      <c r="F66" s="178" t="str">
        <f>_xlfn.IFNA(HLOOKUP(B66, 'Staggered Goals(All) Planner'!$B$28:$J$43, 8, FALSE),"")</f>
        <v/>
      </c>
      <c r="I66" s="205">
        <f>IF(I65&gt;0,I65*(1+Retirement_Inputs!$B$15),IF((B66&lt;Retirement_Inputs!$B$11),0,Retirement_Inputs!$B$12*12))</f>
        <v>60754238.200330384</v>
      </c>
      <c r="J66" s="269">
        <f ca="1">SUMIF('Staggered Goals(All) Planner'!$B$51:$Z$51,YearlyCashFlow!B66,'Staggered Goals(All) Planner'!$B$58:$Z$58)</f>
        <v>0</v>
      </c>
      <c r="K66" s="101" t="str">
        <f ca="1">_xlfn.IFNA(HLOOKUP(B66,'Staggered Goals(All) Planner'!$B$51:$S$67, 16, FALSE),"")</f>
        <v/>
      </c>
      <c r="L66" s="205">
        <f t="shared" ca="1" si="7"/>
        <v>0</v>
      </c>
      <c r="M66" s="216">
        <f>IF(Table1[[#This Row],[Yrs to go]]&lt;yr_to_ret, 0, IF(Table1[[#This Row],[Yrs to go]]&gt;time,0,SUM(C66,F66,I66,J66)-Table1[[#This Row],[Yearly Income from other sources]]))</f>
        <v>0</v>
      </c>
      <c r="N66" s="215">
        <f>PV(Retirement_Inputs!$B$16,Table1[[#This Row],[Yrs to go]],,-Table1[[#This Row],[Total Cash Required]])</f>
        <v>0</v>
      </c>
      <c r="W66" s="178">
        <f t="shared" ca="1" si="8"/>
        <v>0</v>
      </c>
      <c r="X66" s="178">
        <f t="shared" ca="1" si="9"/>
        <v>0</v>
      </c>
      <c r="Y66" s="178">
        <f t="shared" ca="1" si="10"/>
        <v>0</v>
      </c>
      <c r="Z66" s="178">
        <f t="shared" ca="1" si="11"/>
        <v>0</v>
      </c>
    </row>
    <row r="67" spans="1:26" x14ac:dyDescent="0.25">
      <c r="A67" s="47">
        <f t="shared" ca="1" si="12"/>
        <v>2080</v>
      </c>
      <c r="B67" s="47">
        <f t="shared" si="13"/>
        <v>61</v>
      </c>
      <c r="C67" s="178" t="str">
        <f>_xlfn.IFNA(HLOOKUP(B67, 'Staggered Goals(All) Planner'!$B$6:$J$13, 8, FALSE),"")</f>
        <v/>
      </c>
      <c r="F67" s="178" t="str">
        <f>_xlfn.IFNA(HLOOKUP(B67, 'Staggered Goals(All) Planner'!$B$28:$J$43, 8, FALSE),"")</f>
        <v/>
      </c>
      <c r="I67" s="205">
        <f>IF(I66&gt;0,I66*(1+Retirement_Inputs!$B$15),IF((B67&lt;Retirement_Inputs!$B$11),0,Retirement_Inputs!$B$12*12))</f>
        <v>65614577.25635682</v>
      </c>
      <c r="J67" s="269">
        <f ca="1">SUMIF('Staggered Goals(All) Planner'!$B$51:$Z$51,YearlyCashFlow!B67,'Staggered Goals(All) Planner'!$B$58:$Z$58)</f>
        <v>0</v>
      </c>
      <c r="K67" s="101" t="str">
        <f ca="1">_xlfn.IFNA(HLOOKUP(B67,'Staggered Goals(All) Planner'!$B$51:$S$67, 16, FALSE),"")</f>
        <v/>
      </c>
      <c r="L67" s="205">
        <f t="shared" ca="1" si="7"/>
        <v>0</v>
      </c>
      <c r="M67" s="216">
        <f>IF(Table1[[#This Row],[Yrs to go]]&lt;yr_to_ret, 0, IF(Table1[[#This Row],[Yrs to go]]&gt;time,0,SUM(C67,F67,I67,J67)-Table1[[#This Row],[Yearly Income from other sources]]))</f>
        <v>0</v>
      </c>
      <c r="N67" s="215">
        <f>PV(Retirement_Inputs!$B$16,Table1[[#This Row],[Yrs to go]],,-Table1[[#This Row],[Total Cash Required]])</f>
        <v>0</v>
      </c>
      <c r="W67" s="178">
        <f t="shared" ca="1" si="8"/>
        <v>0</v>
      </c>
      <c r="X67" s="178">
        <f t="shared" ca="1" si="9"/>
        <v>0</v>
      </c>
      <c r="Y67" s="178">
        <f t="shared" ca="1" si="10"/>
        <v>0</v>
      </c>
      <c r="Z67" s="178">
        <f t="shared" ca="1" si="11"/>
        <v>0</v>
      </c>
    </row>
    <row r="68" spans="1:26" x14ac:dyDescent="0.25">
      <c r="A68" s="47">
        <f t="shared" ca="1" si="12"/>
        <v>2081</v>
      </c>
      <c r="B68" s="47">
        <f t="shared" si="13"/>
        <v>62</v>
      </c>
      <c r="C68" s="178" t="str">
        <f>_xlfn.IFNA(HLOOKUP(B68, 'Staggered Goals(All) Planner'!$B$6:$J$13, 8, FALSE),"")</f>
        <v/>
      </c>
      <c r="F68" s="178" t="str">
        <f>_xlfn.IFNA(HLOOKUP(B68, 'Staggered Goals(All) Planner'!$B$28:$J$43, 8, FALSE),"")</f>
        <v/>
      </c>
      <c r="I68" s="205">
        <f>IF(I67&gt;0,I67*(1+Retirement_Inputs!$B$15),IF((B68&lt;Retirement_Inputs!$B$11),0,Retirement_Inputs!$B$12*12))</f>
        <v>70863743.436865374</v>
      </c>
      <c r="J68" s="269">
        <f ca="1">SUMIF('Staggered Goals(All) Planner'!$B$51:$Z$51,YearlyCashFlow!B68,'Staggered Goals(All) Planner'!$B$58:$Z$58)</f>
        <v>0</v>
      </c>
      <c r="K68" s="101" t="str">
        <f ca="1">_xlfn.IFNA(HLOOKUP(B68,'Staggered Goals(All) Planner'!$B$51:$S$67, 16, FALSE),"")</f>
        <v/>
      </c>
      <c r="L68" s="205">
        <f t="shared" ca="1" si="7"/>
        <v>0</v>
      </c>
      <c r="M68" s="216">
        <f>IF(Table1[[#This Row],[Yrs to go]]&lt;yr_to_ret, 0, IF(Table1[[#This Row],[Yrs to go]]&gt;time,0,SUM(C68,F68,I68,J68)-Table1[[#This Row],[Yearly Income from other sources]]))</f>
        <v>0</v>
      </c>
      <c r="N68" s="215">
        <f>PV(Retirement_Inputs!$B$16,Table1[[#This Row],[Yrs to go]],,-Table1[[#This Row],[Total Cash Required]])</f>
        <v>0</v>
      </c>
      <c r="W68" s="178">
        <f t="shared" ca="1" si="8"/>
        <v>0</v>
      </c>
      <c r="X68" s="178">
        <f t="shared" ca="1" si="9"/>
        <v>0</v>
      </c>
      <c r="Y68" s="178">
        <f t="shared" ca="1" si="10"/>
        <v>0</v>
      </c>
      <c r="Z68" s="178">
        <f t="shared" ca="1" si="11"/>
        <v>0</v>
      </c>
    </row>
    <row r="69" spans="1:26" x14ac:dyDescent="0.25">
      <c r="A69" s="47">
        <f t="shared" ca="1" si="12"/>
        <v>2082</v>
      </c>
      <c r="B69" s="47">
        <f t="shared" si="13"/>
        <v>63</v>
      </c>
      <c r="C69" s="178" t="str">
        <f>_xlfn.IFNA(HLOOKUP(B69, 'Staggered Goals(All) Planner'!$B$6:$J$13, 8, FALSE),"")</f>
        <v/>
      </c>
      <c r="F69" s="178" t="str">
        <f>_xlfn.IFNA(HLOOKUP(B69, 'Staggered Goals(All) Planner'!$B$28:$J$43, 8, FALSE),"")</f>
        <v/>
      </c>
      <c r="I69" s="205">
        <f>IF(I68&gt;0,I68*(1+Retirement_Inputs!$B$15),IF((B69&lt;Retirement_Inputs!$B$11),0,Retirement_Inputs!$B$12*12))</f>
        <v>76532842.911814615</v>
      </c>
      <c r="J69" s="269">
        <f ca="1">SUMIF('Staggered Goals(All) Planner'!$B$51:$Z$51,YearlyCashFlow!B69,'Staggered Goals(All) Planner'!$B$58:$Z$58)</f>
        <v>0</v>
      </c>
      <c r="K69" s="101" t="str">
        <f ca="1">_xlfn.IFNA(HLOOKUP(B69,'Staggered Goals(All) Planner'!$B$51:$S$67, 16, FALSE),"")</f>
        <v/>
      </c>
      <c r="L69" s="205">
        <f t="shared" ca="1" si="7"/>
        <v>0</v>
      </c>
      <c r="M69" s="216">
        <f>IF(Table1[[#This Row],[Yrs to go]]&lt;yr_to_ret, 0, IF(Table1[[#This Row],[Yrs to go]]&gt;time,0,SUM(C69,F69,I69,J69)-Table1[[#This Row],[Yearly Income from other sources]]))</f>
        <v>0</v>
      </c>
      <c r="N69" s="215">
        <f>PV(Retirement_Inputs!$B$16,Table1[[#This Row],[Yrs to go]],,-Table1[[#This Row],[Total Cash Required]])</f>
        <v>0</v>
      </c>
      <c r="W69" s="178">
        <f t="shared" ca="1" si="8"/>
        <v>0</v>
      </c>
      <c r="X69" s="178">
        <f t="shared" ca="1" si="9"/>
        <v>0</v>
      </c>
      <c r="Y69" s="178">
        <f t="shared" ca="1" si="10"/>
        <v>0</v>
      </c>
      <c r="Z69" s="178">
        <f t="shared" ca="1" si="11"/>
        <v>0</v>
      </c>
    </row>
    <row r="70" spans="1:26" x14ac:dyDescent="0.25">
      <c r="A70" s="47">
        <f t="shared" ca="1" si="12"/>
        <v>2083</v>
      </c>
      <c r="B70" s="47">
        <f t="shared" si="13"/>
        <v>64</v>
      </c>
      <c r="C70" s="178" t="str">
        <f>_xlfn.IFNA(HLOOKUP(B70, 'Staggered Goals(All) Planner'!$B$6:$J$13, 8, FALSE),"")</f>
        <v/>
      </c>
      <c r="F70" s="178" t="str">
        <f>_xlfn.IFNA(HLOOKUP(B70, 'Staggered Goals(All) Planner'!$B$28:$J$43, 8, FALSE),"")</f>
        <v/>
      </c>
      <c r="I70" s="205">
        <f>IF(I69&gt;0,I69*(1+Retirement_Inputs!$B$15),IF((B70&lt;Retirement_Inputs!$B$11),0,Retirement_Inputs!$B$12*12))</f>
        <v>82655470.344759792</v>
      </c>
      <c r="J70" s="269">
        <f ca="1">SUMIF('Staggered Goals(All) Planner'!$B$51:$Z$51,YearlyCashFlow!B70,'Staggered Goals(All) Planner'!$B$58:$Z$58)</f>
        <v>0</v>
      </c>
      <c r="K70" s="101" t="str">
        <f ca="1">_xlfn.IFNA(HLOOKUP(B70,'Staggered Goals(All) Planner'!$B$51:$S$67, 16, FALSE),"")</f>
        <v/>
      </c>
      <c r="L70" s="205">
        <f t="shared" ca="1" si="7"/>
        <v>0</v>
      </c>
      <c r="M70" s="216">
        <f>IF(Table1[[#This Row],[Yrs to go]]&lt;yr_to_ret, 0, IF(Table1[[#This Row],[Yrs to go]]&gt;time,0,SUM(C70,F70,I70,J70)-Table1[[#This Row],[Yearly Income from other sources]]))</f>
        <v>0</v>
      </c>
      <c r="N70" s="215">
        <f>PV(Retirement_Inputs!$B$16,Table1[[#This Row],[Yrs to go]],,-Table1[[#This Row],[Total Cash Required]])</f>
        <v>0</v>
      </c>
      <c r="W70" s="178">
        <f t="shared" ca="1" si="8"/>
        <v>0</v>
      </c>
      <c r="X70" s="178">
        <f t="shared" ca="1" si="9"/>
        <v>0</v>
      </c>
      <c r="Y70" s="178">
        <f t="shared" ca="1" si="10"/>
        <v>0</v>
      </c>
      <c r="Z70" s="178">
        <f t="shared" ca="1" si="11"/>
        <v>0</v>
      </c>
    </row>
    <row r="71" spans="1:26" x14ac:dyDescent="0.25">
      <c r="A71" s="47">
        <f t="shared" ca="1" si="12"/>
        <v>2084</v>
      </c>
      <c r="B71" s="47">
        <f t="shared" si="13"/>
        <v>65</v>
      </c>
      <c r="C71" s="178" t="str">
        <f>_xlfn.IFNA(HLOOKUP(B71, 'Staggered Goals(All) Planner'!$B$6:$J$13, 8, FALSE),"")</f>
        <v/>
      </c>
      <c r="F71" s="178" t="str">
        <f>_xlfn.IFNA(HLOOKUP(B71, 'Staggered Goals(All) Planner'!$B$28:$J$43, 8, FALSE),"")</f>
        <v/>
      </c>
      <c r="I71" s="205">
        <f>IF(I70&gt;0,I70*(1+Retirement_Inputs!$B$15),IF((B71&lt;Retirement_Inputs!$B$11),0,Retirement_Inputs!$B$12*12))</f>
        <v>89267907.972340584</v>
      </c>
      <c r="J71" s="269">
        <f ca="1">SUMIF('Staggered Goals(All) Planner'!$B$51:$Z$51,YearlyCashFlow!B71,'Staggered Goals(All) Planner'!$B$58:$Z$58)</f>
        <v>0</v>
      </c>
      <c r="K71" s="101" t="str">
        <f ca="1">_xlfn.IFNA(HLOOKUP(B71,'Staggered Goals(All) Planner'!$B$51:$S$67, 16, FALSE),"")</f>
        <v/>
      </c>
      <c r="L71" s="205">
        <f t="shared" ref="L71:L90" ca="1" si="14">SUM(W71:Z71)</f>
        <v>0</v>
      </c>
      <c r="M71" s="216">
        <f>IF(Table1[[#This Row],[Yrs to go]]&lt;yr_to_ret, 0, IF(Table1[[#This Row],[Yrs to go]]&gt;time,0,SUM(C71,F71,I71,J71)-Table1[[#This Row],[Yearly Income from other sources]]))</f>
        <v>0</v>
      </c>
      <c r="N71" s="215">
        <f>PV(Retirement_Inputs!$B$16,Table1[[#This Row],[Yrs to go]],,-Table1[[#This Row],[Total Cash Required]])</f>
        <v>0</v>
      </c>
      <c r="W71" s="178">
        <f t="shared" ref="W71:W90" ca="1" si="15">IF(A71&lt;sr_st1,0,IF(A71&lt;sr_end1, ((1+sr_rate1)^(A71-sr_st1))*source1*12,0))</f>
        <v>0</v>
      </c>
      <c r="X71" s="178">
        <f t="shared" ref="X71:X102" ca="1" si="16">IF(A71&lt;sr_st2,0,IF(A71&lt;sr_end2, ((1+sr_rate2)^(A71-sr_st2))*source2*12,0))</f>
        <v>0</v>
      </c>
      <c r="Y71" s="178">
        <f t="shared" ref="Y71:Y102" ca="1" si="17">IF(A71&lt;sr_st3,0,IF(A71&lt;sr_end3, ((1+sr_rate3)^(A71-sr_st3))*source3*12,0))</f>
        <v>0</v>
      </c>
      <c r="Z71" s="178">
        <f t="shared" ref="Z71:Z90" ca="1" si="18">IF(A71&lt;sr_st4,0,IF(A71&lt;sr_end4, ((1+sr_rate4)^(A71-sr_st4))*source4*12,0))</f>
        <v>0</v>
      </c>
    </row>
    <row r="72" spans="1:26" x14ac:dyDescent="0.25">
      <c r="A72" s="47">
        <f t="shared" ca="1" si="12"/>
        <v>2085</v>
      </c>
      <c r="B72" s="47">
        <f t="shared" si="13"/>
        <v>66</v>
      </c>
      <c r="C72" s="178" t="str">
        <f>_xlfn.IFNA(HLOOKUP(B72, 'Staggered Goals(All) Planner'!$B$6:$J$13, 8, FALSE),"")</f>
        <v/>
      </c>
      <c r="F72" s="178" t="str">
        <f>_xlfn.IFNA(HLOOKUP(B72, 'Staggered Goals(All) Planner'!$B$28:$J$43, 8, FALSE),"")</f>
        <v/>
      </c>
      <c r="I72" s="205">
        <f>IF(I71&gt;0,I71*(1+Retirement_Inputs!$B$15),IF((B72&lt;Retirement_Inputs!$B$11),0,Retirement_Inputs!$B$12*12))</f>
        <v>96409340.610127836</v>
      </c>
      <c r="J72" s="269">
        <f ca="1">SUMIF('Staggered Goals(All) Planner'!$B$51:$Z$51,YearlyCashFlow!B72,'Staggered Goals(All) Planner'!$B$58:$Z$58)</f>
        <v>0</v>
      </c>
      <c r="K72" s="101" t="str">
        <f ca="1">_xlfn.IFNA(HLOOKUP(B72,'Staggered Goals(All) Planner'!$B$51:$S$67, 16, FALSE),"")</f>
        <v/>
      </c>
      <c r="L72" s="205">
        <f t="shared" ca="1" si="14"/>
        <v>0</v>
      </c>
      <c r="M72" s="216">
        <f>IF(Table1[[#This Row],[Yrs to go]]&lt;yr_to_ret, 0, IF(Table1[[#This Row],[Yrs to go]]&gt;time,0,SUM(C72,F72,I72,J72)-Table1[[#This Row],[Yearly Income from other sources]]))</f>
        <v>0</v>
      </c>
      <c r="N72" s="215">
        <f>PV(Retirement_Inputs!$B$16,Table1[[#This Row],[Yrs to go]],,-Table1[[#This Row],[Total Cash Required]])</f>
        <v>0</v>
      </c>
      <c r="W72" s="178">
        <f t="shared" ca="1" si="15"/>
        <v>0</v>
      </c>
      <c r="X72" s="178">
        <f t="shared" ca="1" si="16"/>
        <v>0</v>
      </c>
      <c r="Y72" s="178">
        <f t="shared" ca="1" si="17"/>
        <v>0</v>
      </c>
      <c r="Z72" s="178">
        <f t="shared" ca="1" si="18"/>
        <v>0</v>
      </c>
    </row>
    <row r="73" spans="1:26" x14ac:dyDescent="0.25">
      <c r="A73" s="47">
        <f t="shared" ca="1" si="12"/>
        <v>2086</v>
      </c>
      <c r="B73" s="47">
        <f t="shared" si="13"/>
        <v>67</v>
      </c>
      <c r="C73" s="178" t="str">
        <f>_xlfn.IFNA(HLOOKUP(B73, 'Staggered Goals(All) Planner'!$B$6:$J$13, 8, FALSE),"")</f>
        <v/>
      </c>
      <c r="F73" s="178" t="str">
        <f>_xlfn.IFNA(HLOOKUP(B73, 'Staggered Goals(All) Planner'!$B$28:$J$43, 8, FALSE),"")</f>
        <v/>
      </c>
      <c r="I73" s="205">
        <f>IF(I72&gt;0,I72*(1+Retirement_Inputs!$B$15),IF((B73&lt;Retirement_Inputs!$B$11),0,Retirement_Inputs!$B$12*12))</f>
        <v>104122087.85893807</v>
      </c>
      <c r="J73" s="269">
        <f ca="1">SUMIF('Staggered Goals(All) Planner'!$B$51:$Z$51,YearlyCashFlow!B73,'Staggered Goals(All) Planner'!$B$58:$Z$58)</f>
        <v>0</v>
      </c>
      <c r="K73" s="101" t="str">
        <f ca="1">_xlfn.IFNA(HLOOKUP(B73,'Staggered Goals(All) Planner'!$B$51:$S$67, 16, FALSE),"")</f>
        <v/>
      </c>
      <c r="L73" s="205">
        <f t="shared" ca="1" si="14"/>
        <v>0</v>
      </c>
      <c r="M73" s="216">
        <f>IF(Table1[[#This Row],[Yrs to go]]&lt;yr_to_ret, 0, IF(Table1[[#This Row],[Yrs to go]]&gt;time,0,SUM(C73,F73,I73,J73)-Table1[[#This Row],[Yearly Income from other sources]]))</f>
        <v>0</v>
      </c>
      <c r="N73" s="215">
        <f>PV(Retirement_Inputs!$B$16,Table1[[#This Row],[Yrs to go]],,-Table1[[#This Row],[Total Cash Required]])</f>
        <v>0</v>
      </c>
      <c r="W73" s="178">
        <f t="shared" ca="1" si="15"/>
        <v>0</v>
      </c>
      <c r="X73" s="178">
        <f t="shared" ca="1" si="16"/>
        <v>0</v>
      </c>
      <c r="Y73" s="178">
        <f t="shared" ca="1" si="17"/>
        <v>0</v>
      </c>
      <c r="Z73" s="178">
        <f t="shared" ca="1" si="18"/>
        <v>0</v>
      </c>
    </row>
    <row r="74" spans="1:26" x14ac:dyDescent="0.25">
      <c r="A74" s="47">
        <f t="shared" ca="1" si="12"/>
        <v>2087</v>
      </c>
      <c r="B74" s="47">
        <f t="shared" si="13"/>
        <v>68</v>
      </c>
      <c r="C74" s="178" t="str">
        <f>_xlfn.IFNA(HLOOKUP(B74, 'Staggered Goals(All) Planner'!$B$6:$J$13, 8, FALSE),"")</f>
        <v/>
      </c>
      <c r="F74" s="178" t="str">
        <f>_xlfn.IFNA(HLOOKUP(B74, 'Staggered Goals(All) Planner'!$B$28:$J$43, 8, FALSE),"")</f>
        <v/>
      </c>
      <c r="I74" s="205">
        <f>IF(I73&gt;0,I73*(1+Retirement_Inputs!$B$15),IF((B74&lt;Retirement_Inputs!$B$11),0,Retirement_Inputs!$B$12*12))</f>
        <v>112451854.88765313</v>
      </c>
      <c r="J74" s="269">
        <f ca="1">SUMIF('Staggered Goals(All) Planner'!$B$51:$Z$51,YearlyCashFlow!B74,'Staggered Goals(All) Planner'!$B$58:$Z$58)</f>
        <v>0</v>
      </c>
      <c r="K74" s="101" t="str">
        <f ca="1">_xlfn.IFNA(HLOOKUP(B74,'Staggered Goals(All) Planner'!$B$51:$S$67, 16, FALSE),"")</f>
        <v/>
      </c>
      <c r="L74" s="205">
        <f t="shared" ca="1" si="14"/>
        <v>0</v>
      </c>
      <c r="M74" s="216">
        <f>IF(Table1[[#This Row],[Yrs to go]]&lt;yr_to_ret, 0, IF(Table1[[#This Row],[Yrs to go]]&gt;time,0,SUM(C74,F74,I74,J74)-Table1[[#This Row],[Yearly Income from other sources]]))</f>
        <v>0</v>
      </c>
      <c r="N74" s="215">
        <f>PV(Retirement_Inputs!$B$16,Table1[[#This Row],[Yrs to go]],,-Table1[[#This Row],[Total Cash Required]])</f>
        <v>0</v>
      </c>
      <c r="W74" s="178">
        <f t="shared" ca="1" si="15"/>
        <v>0</v>
      </c>
      <c r="X74" s="178">
        <f t="shared" ca="1" si="16"/>
        <v>0</v>
      </c>
      <c r="Y74" s="178">
        <f t="shared" ca="1" si="17"/>
        <v>0</v>
      </c>
      <c r="Z74" s="178">
        <f t="shared" ca="1" si="18"/>
        <v>0</v>
      </c>
    </row>
    <row r="75" spans="1:26" x14ac:dyDescent="0.25">
      <c r="A75" s="47">
        <f t="shared" ca="1" si="12"/>
        <v>2088</v>
      </c>
      <c r="B75" s="47">
        <f t="shared" si="13"/>
        <v>69</v>
      </c>
      <c r="C75" s="178" t="str">
        <f>_xlfn.IFNA(HLOOKUP(B75, 'Staggered Goals(All) Planner'!$B$6:$J$13, 8, FALSE),"")</f>
        <v/>
      </c>
      <c r="F75" s="178" t="str">
        <f>_xlfn.IFNA(HLOOKUP(B75, 'Staggered Goals(All) Planner'!$B$28:$J$43, 8, FALSE),"")</f>
        <v/>
      </c>
      <c r="I75" s="205">
        <f>IF(I74&gt;0,I74*(1+Retirement_Inputs!$B$15),IF((B75&lt;Retirement_Inputs!$B$11),0,Retirement_Inputs!$B$12*12))</f>
        <v>121448003.27866538</v>
      </c>
      <c r="J75" s="269">
        <f ca="1">SUMIF('Staggered Goals(All) Planner'!$B$51:$Z$51,YearlyCashFlow!B75,'Staggered Goals(All) Planner'!$B$58:$Z$58)</f>
        <v>0</v>
      </c>
      <c r="K75" s="101" t="str">
        <f ca="1">_xlfn.IFNA(HLOOKUP(B75,'Staggered Goals(All) Planner'!$B$51:$S$67, 16, FALSE),"")</f>
        <v/>
      </c>
      <c r="L75" s="205">
        <f t="shared" ca="1" si="14"/>
        <v>0</v>
      </c>
      <c r="M75" s="216">
        <f>IF(Table1[[#This Row],[Yrs to go]]&lt;yr_to_ret, 0, IF(Table1[[#This Row],[Yrs to go]]&gt;time,0,SUM(C75,F75,I75,J75)-Table1[[#This Row],[Yearly Income from other sources]]))</f>
        <v>0</v>
      </c>
      <c r="N75" s="215">
        <f>PV(Retirement_Inputs!$B$16,Table1[[#This Row],[Yrs to go]],,-Table1[[#This Row],[Total Cash Required]])</f>
        <v>0</v>
      </c>
      <c r="W75" s="178">
        <f t="shared" ca="1" si="15"/>
        <v>0</v>
      </c>
      <c r="X75" s="178">
        <f t="shared" ca="1" si="16"/>
        <v>0</v>
      </c>
      <c r="Y75" s="178">
        <f t="shared" ca="1" si="17"/>
        <v>0</v>
      </c>
      <c r="Z75" s="178">
        <f t="shared" ca="1" si="18"/>
        <v>0</v>
      </c>
    </row>
    <row r="76" spans="1:26" x14ac:dyDescent="0.25">
      <c r="A76" s="47">
        <f t="shared" ref="A76:A90" ca="1" si="19">A75+1</f>
        <v>2089</v>
      </c>
      <c r="B76" s="47">
        <f t="shared" ref="B76:B90" si="20">B75+1</f>
        <v>70</v>
      </c>
      <c r="C76" s="178" t="str">
        <f>_xlfn.IFNA(HLOOKUP(B76, 'Staggered Goals(All) Planner'!$B$6:$J$13, 8, FALSE),"")</f>
        <v/>
      </c>
      <c r="F76" s="178" t="str">
        <f>_xlfn.IFNA(HLOOKUP(B76, 'Staggered Goals(All) Planner'!$B$28:$J$43, 8, FALSE),"")</f>
        <v/>
      </c>
      <c r="I76" s="205">
        <f>IF(I75&gt;0,I75*(1+Retirement_Inputs!$B$15),IF((B76&lt;Retirement_Inputs!$B$11),0,Retirement_Inputs!$B$12*12))</f>
        <v>131163843.54095861</v>
      </c>
      <c r="J76" s="269">
        <f ca="1">SUMIF('Staggered Goals(All) Planner'!$B$51:$Z$51,YearlyCashFlow!B76,'Staggered Goals(All) Planner'!$B$58:$Z$58)</f>
        <v>0</v>
      </c>
      <c r="K76" s="101" t="str">
        <f ca="1">_xlfn.IFNA(HLOOKUP(B76,'Staggered Goals(All) Planner'!$B$51:$S$67, 16, FALSE),"")</f>
        <v/>
      </c>
      <c r="L76" s="205">
        <f t="shared" ca="1" si="14"/>
        <v>0</v>
      </c>
      <c r="M76" s="216">
        <f>IF(Table1[[#This Row],[Yrs to go]]&lt;yr_to_ret, 0, IF(Table1[[#This Row],[Yrs to go]]&gt;time,0,SUM(C76,F76,I76,J76)-Table1[[#This Row],[Yearly Income from other sources]]))</f>
        <v>0</v>
      </c>
      <c r="N76" s="215">
        <f>PV(Retirement_Inputs!$B$16,Table1[[#This Row],[Yrs to go]],,-Table1[[#This Row],[Total Cash Required]])</f>
        <v>0</v>
      </c>
      <c r="W76" s="178">
        <f t="shared" ca="1" si="15"/>
        <v>0</v>
      </c>
      <c r="X76" s="178">
        <f t="shared" ca="1" si="16"/>
        <v>0</v>
      </c>
      <c r="Y76" s="178">
        <f t="shared" ca="1" si="17"/>
        <v>0</v>
      </c>
      <c r="Z76" s="178">
        <f t="shared" ca="1" si="18"/>
        <v>0</v>
      </c>
    </row>
    <row r="77" spans="1:26" x14ac:dyDescent="0.25">
      <c r="A77" s="47">
        <f t="shared" ca="1" si="19"/>
        <v>2090</v>
      </c>
      <c r="B77" s="47">
        <f t="shared" si="20"/>
        <v>71</v>
      </c>
      <c r="C77" s="178" t="str">
        <f>_xlfn.IFNA(HLOOKUP(B77, 'Staggered Goals(All) Planner'!$B$6:$J$13, 8, FALSE),"")</f>
        <v/>
      </c>
      <c r="F77" s="178" t="str">
        <f>_xlfn.IFNA(HLOOKUP(B77, 'Staggered Goals(All) Planner'!$B$28:$J$43, 8, FALSE),"")</f>
        <v/>
      </c>
      <c r="I77" s="205">
        <f>IF(I76&gt;0,I76*(1+Retirement_Inputs!$B$15),IF((B77&lt;Retirement_Inputs!$B$11),0,Retirement_Inputs!$B$12*12))</f>
        <v>141656951.02423531</v>
      </c>
      <c r="J77" s="269">
        <f ca="1">SUMIF('Staggered Goals(All) Planner'!$B$51:$Z$51,YearlyCashFlow!B77,'Staggered Goals(All) Planner'!$B$58:$Z$58)</f>
        <v>0</v>
      </c>
      <c r="K77" s="101" t="str">
        <f ca="1">_xlfn.IFNA(HLOOKUP(B77,'Staggered Goals(All) Planner'!$B$51:$S$67, 16, FALSE),"")</f>
        <v/>
      </c>
      <c r="L77" s="205">
        <f t="shared" ca="1" si="14"/>
        <v>0</v>
      </c>
      <c r="M77" s="216">
        <f>IF(Table1[[#This Row],[Yrs to go]]&lt;yr_to_ret, 0, IF(Table1[[#This Row],[Yrs to go]]&gt;time,0,SUM(C77,F77,I77,J77)-Table1[[#This Row],[Yearly Income from other sources]]))</f>
        <v>0</v>
      </c>
      <c r="N77" s="215">
        <f>PV(Retirement_Inputs!$B$16,Table1[[#This Row],[Yrs to go]],,-Table1[[#This Row],[Total Cash Required]])</f>
        <v>0</v>
      </c>
      <c r="W77" s="178">
        <f t="shared" ca="1" si="15"/>
        <v>0</v>
      </c>
      <c r="X77" s="178">
        <f t="shared" ca="1" si="16"/>
        <v>0</v>
      </c>
      <c r="Y77" s="178">
        <f t="shared" ca="1" si="17"/>
        <v>0</v>
      </c>
      <c r="Z77" s="178">
        <f t="shared" ca="1" si="18"/>
        <v>0</v>
      </c>
    </row>
    <row r="78" spans="1:26" x14ac:dyDescent="0.25">
      <c r="A78" s="47">
        <f t="shared" ca="1" si="19"/>
        <v>2091</v>
      </c>
      <c r="B78" s="47">
        <f t="shared" si="20"/>
        <v>72</v>
      </c>
      <c r="C78" s="178" t="str">
        <f>_xlfn.IFNA(HLOOKUP(B78, 'Staggered Goals(All) Planner'!$B$6:$J$13, 8, FALSE),"")</f>
        <v/>
      </c>
      <c r="F78" s="178" t="str">
        <f>_xlfn.IFNA(HLOOKUP(B78, 'Staggered Goals(All) Planner'!$B$28:$J$43, 8, FALSE),"")</f>
        <v/>
      </c>
      <c r="I78" s="205">
        <f>IF(I77&gt;0,I77*(1+Retirement_Inputs!$B$15),IF((B78&lt;Retirement_Inputs!$B$11),0,Retirement_Inputs!$B$12*12))</f>
        <v>152989507.10617414</v>
      </c>
      <c r="J78" s="269">
        <f ca="1">SUMIF('Staggered Goals(All) Planner'!$B$51:$Z$51,YearlyCashFlow!B78,'Staggered Goals(All) Planner'!$B$58:$Z$58)</f>
        <v>0</v>
      </c>
      <c r="K78" s="101" t="str">
        <f ca="1">_xlfn.IFNA(HLOOKUP(B78,'Staggered Goals(All) Planner'!$B$51:$S$67, 16, FALSE),"")</f>
        <v/>
      </c>
      <c r="L78" s="205">
        <f t="shared" ca="1" si="14"/>
        <v>0</v>
      </c>
      <c r="M78" s="216">
        <f>IF(Table1[[#This Row],[Yrs to go]]&lt;yr_to_ret, 0, IF(Table1[[#This Row],[Yrs to go]]&gt;time,0,SUM(C78,F78,I78,J78)-Table1[[#This Row],[Yearly Income from other sources]]))</f>
        <v>0</v>
      </c>
      <c r="N78" s="215">
        <f>PV(Retirement_Inputs!$B$16,Table1[[#This Row],[Yrs to go]],,-Table1[[#This Row],[Total Cash Required]])</f>
        <v>0</v>
      </c>
      <c r="W78" s="178">
        <f t="shared" ca="1" si="15"/>
        <v>0</v>
      </c>
      <c r="X78" s="178">
        <f t="shared" ca="1" si="16"/>
        <v>0</v>
      </c>
      <c r="Y78" s="178">
        <f t="shared" ca="1" si="17"/>
        <v>0</v>
      </c>
      <c r="Z78" s="178">
        <f t="shared" ca="1" si="18"/>
        <v>0</v>
      </c>
    </row>
    <row r="79" spans="1:26" x14ac:dyDescent="0.25">
      <c r="A79" s="47">
        <f t="shared" ca="1" si="19"/>
        <v>2092</v>
      </c>
      <c r="B79" s="47">
        <f t="shared" si="20"/>
        <v>73</v>
      </c>
      <c r="C79" s="178" t="str">
        <f>_xlfn.IFNA(HLOOKUP(B79, 'Staggered Goals(All) Planner'!$B$6:$J$13, 8, FALSE),"")</f>
        <v/>
      </c>
      <c r="F79" s="178" t="str">
        <f>_xlfn.IFNA(HLOOKUP(B79, 'Staggered Goals(All) Planner'!$B$28:$J$43, 8, FALSE),"")</f>
        <v/>
      </c>
      <c r="I79" s="205">
        <f>IF(I78&gt;0,I78*(1+Retirement_Inputs!$B$15),IF((B79&lt;Retirement_Inputs!$B$11),0,Retirement_Inputs!$B$12*12))</f>
        <v>165228667.67466807</v>
      </c>
      <c r="J79" s="269">
        <f ca="1">SUMIF('Staggered Goals(All) Planner'!$B$51:$Z$51,YearlyCashFlow!B79,'Staggered Goals(All) Planner'!$B$58:$Z$58)</f>
        <v>0</v>
      </c>
      <c r="K79" s="101" t="str">
        <f ca="1">_xlfn.IFNA(HLOOKUP(B79,'Staggered Goals(All) Planner'!$B$51:$S$67, 16, FALSE),"")</f>
        <v/>
      </c>
      <c r="L79" s="205">
        <f t="shared" ca="1" si="14"/>
        <v>0</v>
      </c>
      <c r="M79" s="216">
        <f>IF(Table1[[#This Row],[Yrs to go]]&lt;yr_to_ret, 0, IF(Table1[[#This Row],[Yrs to go]]&gt;time,0,SUM(C79,F79,I79,J79)-Table1[[#This Row],[Yearly Income from other sources]]))</f>
        <v>0</v>
      </c>
      <c r="N79" s="215">
        <f>PV(Retirement_Inputs!$B$16,Table1[[#This Row],[Yrs to go]],,-Table1[[#This Row],[Total Cash Required]])</f>
        <v>0</v>
      </c>
      <c r="W79" s="178">
        <f t="shared" ca="1" si="15"/>
        <v>0</v>
      </c>
      <c r="X79" s="178">
        <f t="shared" ca="1" si="16"/>
        <v>0</v>
      </c>
      <c r="Y79" s="178">
        <f t="shared" ca="1" si="17"/>
        <v>0</v>
      </c>
      <c r="Z79" s="178">
        <f t="shared" ca="1" si="18"/>
        <v>0</v>
      </c>
    </row>
    <row r="80" spans="1:26" x14ac:dyDescent="0.25">
      <c r="A80" s="47">
        <f t="shared" ca="1" si="19"/>
        <v>2093</v>
      </c>
      <c r="B80" s="47">
        <f t="shared" si="20"/>
        <v>74</v>
      </c>
      <c r="C80" s="178" t="str">
        <f>_xlfn.IFNA(HLOOKUP(B80, 'Staggered Goals(All) Planner'!$B$6:$J$13, 8, FALSE),"")</f>
        <v/>
      </c>
      <c r="F80" s="178" t="str">
        <f>_xlfn.IFNA(HLOOKUP(B80, 'Staggered Goals(All) Planner'!$B$28:$J$43, 8, FALSE),"")</f>
        <v/>
      </c>
      <c r="I80" s="205">
        <f>IF(I79&gt;0,I79*(1+Retirement_Inputs!$B$15),IF((B80&lt;Retirement_Inputs!$B$11),0,Retirement_Inputs!$B$12*12))</f>
        <v>178446961.08864152</v>
      </c>
      <c r="J80" s="269">
        <f ca="1">SUMIF('Staggered Goals(All) Planner'!$B$51:$Z$51,YearlyCashFlow!B80,'Staggered Goals(All) Planner'!$B$58:$Z$58)</f>
        <v>0</v>
      </c>
      <c r="K80" s="101" t="str">
        <f ca="1">_xlfn.IFNA(HLOOKUP(B80,'Staggered Goals(All) Planner'!$B$51:$S$67, 16, FALSE),"")</f>
        <v/>
      </c>
      <c r="L80" s="205">
        <f t="shared" ca="1" si="14"/>
        <v>0</v>
      </c>
      <c r="M80" s="216">
        <f>IF(Table1[[#This Row],[Yrs to go]]&lt;yr_to_ret, 0, IF(Table1[[#This Row],[Yrs to go]]&gt;time,0,SUM(C80,F80,I80,J80)-Table1[[#This Row],[Yearly Income from other sources]]))</f>
        <v>0</v>
      </c>
      <c r="N80" s="215">
        <f>PV(Retirement_Inputs!$B$16,Table1[[#This Row],[Yrs to go]],,-Table1[[#This Row],[Total Cash Required]])</f>
        <v>0</v>
      </c>
      <c r="W80" s="178">
        <f t="shared" ca="1" si="15"/>
        <v>0</v>
      </c>
      <c r="X80" s="178">
        <f t="shared" ca="1" si="16"/>
        <v>0</v>
      </c>
      <c r="Y80" s="178">
        <f t="shared" ca="1" si="17"/>
        <v>0</v>
      </c>
      <c r="Z80" s="178">
        <f t="shared" ca="1" si="18"/>
        <v>0</v>
      </c>
    </row>
    <row r="81" spans="1:26" x14ac:dyDescent="0.25">
      <c r="A81" s="47">
        <f t="shared" ca="1" si="19"/>
        <v>2094</v>
      </c>
      <c r="B81" s="47">
        <f t="shared" si="20"/>
        <v>75</v>
      </c>
      <c r="C81" s="178" t="str">
        <f>_xlfn.IFNA(HLOOKUP(B81, 'Staggered Goals(All) Planner'!$B$6:$J$13, 8, FALSE),"")</f>
        <v/>
      </c>
      <c r="F81" s="178" t="str">
        <f>_xlfn.IFNA(HLOOKUP(B81, 'Staggered Goals(All) Planner'!$B$28:$J$43, 8, FALSE),"")</f>
        <v/>
      </c>
      <c r="I81" s="205">
        <f>IF(I80&gt;0,I80*(1+Retirement_Inputs!$B$15),IF((B81&lt;Retirement_Inputs!$B$11),0,Retirement_Inputs!$B$12*12))</f>
        <v>192722717.97573286</v>
      </c>
      <c r="J81" s="269">
        <f ca="1">SUMIF('Staggered Goals(All) Planner'!$B$51:$Z$51,YearlyCashFlow!B81,'Staggered Goals(All) Planner'!$B$58:$Z$58)</f>
        <v>0</v>
      </c>
      <c r="K81" s="101" t="str">
        <f ca="1">_xlfn.IFNA(HLOOKUP(B81,'Staggered Goals(All) Planner'!$B$51:$S$67, 16, FALSE),"")</f>
        <v/>
      </c>
      <c r="L81" s="205">
        <f t="shared" ca="1" si="14"/>
        <v>0</v>
      </c>
      <c r="M81" s="216">
        <f>IF(Table1[[#This Row],[Yrs to go]]&lt;yr_to_ret, 0, IF(Table1[[#This Row],[Yrs to go]]&gt;time,0,SUM(C81,F81,I81,J81)-Table1[[#This Row],[Yearly Income from other sources]]))</f>
        <v>0</v>
      </c>
      <c r="N81" s="215">
        <f>PV(Retirement_Inputs!$B$16,Table1[[#This Row],[Yrs to go]],,-Table1[[#This Row],[Total Cash Required]])</f>
        <v>0</v>
      </c>
      <c r="W81" s="178">
        <f t="shared" ca="1" si="15"/>
        <v>0</v>
      </c>
      <c r="X81" s="178">
        <f t="shared" ca="1" si="16"/>
        <v>0</v>
      </c>
      <c r="Y81" s="178">
        <f t="shared" ca="1" si="17"/>
        <v>0</v>
      </c>
      <c r="Z81" s="178">
        <f t="shared" ca="1" si="18"/>
        <v>0</v>
      </c>
    </row>
    <row r="82" spans="1:26" x14ac:dyDescent="0.25">
      <c r="A82" s="47">
        <f t="shared" ca="1" si="19"/>
        <v>2095</v>
      </c>
      <c r="B82" s="47">
        <f t="shared" si="20"/>
        <v>76</v>
      </c>
      <c r="C82" s="178" t="str">
        <f>_xlfn.IFNA(HLOOKUP(B82, 'Staggered Goals(All) Planner'!$B$6:$J$13, 8, FALSE),"")</f>
        <v/>
      </c>
      <c r="F82" s="178" t="str">
        <f>_xlfn.IFNA(HLOOKUP(B82, 'Staggered Goals(All) Planner'!$B$28:$J$43, 8, FALSE),"")</f>
        <v/>
      </c>
      <c r="I82" s="205">
        <f>IF(I81&gt;0,I81*(1+Retirement_Inputs!$B$15),IF((B82&lt;Retirement_Inputs!$B$11),0,Retirement_Inputs!$B$12*12))</f>
        <v>208140535.41379151</v>
      </c>
      <c r="J82" s="269">
        <f ca="1">SUMIF('Staggered Goals(All) Planner'!$B$51:$Z$51,YearlyCashFlow!B82,'Staggered Goals(All) Planner'!$B$58:$Z$58)</f>
        <v>0</v>
      </c>
      <c r="K82" s="101" t="str">
        <f ca="1">_xlfn.IFNA(HLOOKUP(B82,'Staggered Goals(All) Planner'!$B$51:$S$67, 16, FALSE),"")</f>
        <v/>
      </c>
      <c r="L82" s="205">
        <f t="shared" ca="1" si="14"/>
        <v>0</v>
      </c>
      <c r="M82" s="216">
        <f>IF(Table1[[#This Row],[Yrs to go]]&lt;yr_to_ret, 0, IF(Table1[[#This Row],[Yrs to go]]&gt;time,0,SUM(C82,F82,I82,J82)-Table1[[#This Row],[Yearly Income from other sources]]))</f>
        <v>0</v>
      </c>
      <c r="N82" s="215">
        <f>PV(Retirement_Inputs!$B$16,Table1[[#This Row],[Yrs to go]],,-Table1[[#This Row],[Total Cash Required]])</f>
        <v>0</v>
      </c>
      <c r="W82" s="178">
        <f t="shared" ca="1" si="15"/>
        <v>0</v>
      </c>
      <c r="X82" s="178">
        <f t="shared" ca="1" si="16"/>
        <v>0</v>
      </c>
      <c r="Y82" s="178">
        <f t="shared" ca="1" si="17"/>
        <v>0</v>
      </c>
      <c r="Z82" s="178">
        <f t="shared" ca="1" si="18"/>
        <v>0</v>
      </c>
    </row>
    <row r="83" spans="1:26" x14ac:dyDescent="0.25">
      <c r="A83" s="47">
        <f t="shared" ca="1" si="19"/>
        <v>2096</v>
      </c>
      <c r="B83" s="47">
        <f t="shared" si="20"/>
        <v>77</v>
      </c>
      <c r="C83" s="178" t="str">
        <f>_xlfn.IFNA(HLOOKUP(B83, 'Staggered Goals(All) Planner'!$B$6:$J$13, 8, FALSE),"")</f>
        <v/>
      </c>
      <c r="F83" s="178" t="str">
        <f>_xlfn.IFNA(HLOOKUP(B83, 'Staggered Goals(All) Planner'!$B$28:$J$43, 8, FALSE),"")</f>
        <v/>
      </c>
      <c r="I83" s="205">
        <f>IF(I82&gt;0,I82*(1+Retirement_Inputs!$B$15),IF((B83&lt;Retirement_Inputs!$B$11),0,Retirement_Inputs!$B$12*12))</f>
        <v>224791778.24689484</v>
      </c>
      <c r="J83" s="269">
        <f ca="1">SUMIF('Staggered Goals(All) Planner'!$B$51:$Z$51,YearlyCashFlow!B83,'Staggered Goals(All) Planner'!$B$58:$Z$58)</f>
        <v>0</v>
      </c>
      <c r="K83" s="101" t="str">
        <f ca="1">_xlfn.IFNA(HLOOKUP(B83,'Staggered Goals(All) Planner'!$B$51:$S$67, 16, FALSE),"")</f>
        <v/>
      </c>
      <c r="L83" s="205">
        <f t="shared" ca="1" si="14"/>
        <v>0</v>
      </c>
      <c r="M83" s="216">
        <f>IF(Table1[[#This Row],[Yrs to go]]&lt;yr_to_ret, 0, IF(Table1[[#This Row],[Yrs to go]]&gt;time,0,SUM(C83,F83,I83,J83)-Table1[[#This Row],[Yearly Income from other sources]]))</f>
        <v>0</v>
      </c>
      <c r="N83" s="215">
        <f>PV(Retirement_Inputs!$B$16,Table1[[#This Row],[Yrs to go]],,-Table1[[#This Row],[Total Cash Required]])</f>
        <v>0</v>
      </c>
      <c r="W83" s="178">
        <f t="shared" ca="1" si="15"/>
        <v>0</v>
      </c>
      <c r="X83" s="178">
        <f t="shared" ca="1" si="16"/>
        <v>0</v>
      </c>
      <c r="Y83" s="178">
        <f t="shared" ca="1" si="17"/>
        <v>0</v>
      </c>
      <c r="Z83" s="178">
        <f t="shared" ca="1" si="18"/>
        <v>0</v>
      </c>
    </row>
    <row r="84" spans="1:26" x14ac:dyDescent="0.25">
      <c r="A84" s="47">
        <f t="shared" ca="1" si="19"/>
        <v>2097</v>
      </c>
      <c r="B84" s="47">
        <f t="shared" si="20"/>
        <v>78</v>
      </c>
      <c r="C84" s="178" t="str">
        <f>_xlfn.IFNA(HLOOKUP(B84, 'Staggered Goals(All) Planner'!$B$6:$J$13, 8, FALSE),"")</f>
        <v/>
      </c>
      <c r="F84" s="178" t="str">
        <f>_xlfn.IFNA(HLOOKUP(B84, 'Staggered Goals(All) Planner'!$B$28:$J$43, 8, FALSE),"")</f>
        <v/>
      </c>
      <c r="I84" s="205">
        <f>IF(I83&gt;0,I83*(1+Retirement_Inputs!$B$15),IF((B84&lt;Retirement_Inputs!$B$11),0,Retirement_Inputs!$B$12*12))</f>
        <v>242775120.50664642</v>
      </c>
      <c r="J84" s="269">
        <f ca="1">SUMIF('Staggered Goals(All) Planner'!$B$51:$Z$51,YearlyCashFlow!B84,'Staggered Goals(All) Planner'!$B$58:$Z$58)</f>
        <v>0</v>
      </c>
      <c r="K84" s="101" t="str">
        <f ca="1">_xlfn.IFNA(HLOOKUP(B84,'Staggered Goals(All) Planner'!$B$51:$S$67, 16, FALSE),"")</f>
        <v/>
      </c>
      <c r="L84" s="205">
        <f t="shared" ca="1" si="14"/>
        <v>0</v>
      </c>
      <c r="M84" s="216">
        <f>IF(Table1[[#This Row],[Yrs to go]]&lt;yr_to_ret, 0, IF(Table1[[#This Row],[Yrs to go]]&gt;time,0,SUM(C84,F84,I84,J84)-Table1[[#This Row],[Yearly Income from other sources]]))</f>
        <v>0</v>
      </c>
      <c r="N84" s="215">
        <f>PV(Retirement_Inputs!$B$16,Table1[[#This Row],[Yrs to go]],,-Table1[[#This Row],[Total Cash Required]])</f>
        <v>0</v>
      </c>
      <c r="W84" s="178">
        <f t="shared" ca="1" si="15"/>
        <v>0</v>
      </c>
      <c r="X84" s="178">
        <f t="shared" ca="1" si="16"/>
        <v>0</v>
      </c>
      <c r="Y84" s="178">
        <f t="shared" ca="1" si="17"/>
        <v>0</v>
      </c>
      <c r="Z84" s="178">
        <f t="shared" ca="1" si="18"/>
        <v>0</v>
      </c>
    </row>
    <row r="85" spans="1:26" x14ac:dyDescent="0.25">
      <c r="A85" s="47">
        <f t="shared" ca="1" si="19"/>
        <v>2098</v>
      </c>
      <c r="B85" s="47">
        <f t="shared" si="20"/>
        <v>79</v>
      </c>
      <c r="C85" s="178" t="str">
        <f>_xlfn.IFNA(HLOOKUP(B85, 'Staggered Goals(All) Planner'!$B$6:$J$13, 8, FALSE),"")</f>
        <v/>
      </c>
      <c r="F85" s="178" t="str">
        <f>_xlfn.IFNA(HLOOKUP(B85, 'Staggered Goals(All) Planner'!$B$28:$J$43, 8, FALSE),"")</f>
        <v/>
      </c>
      <c r="I85" s="205">
        <f>IF(I84&gt;0,I84*(1+Retirement_Inputs!$B$15),IF((B85&lt;Retirement_Inputs!$B$11),0,Retirement_Inputs!$B$12*12))</f>
        <v>262197130.14717814</v>
      </c>
      <c r="J85" s="269">
        <f ca="1">SUMIF('Staggered Goals(All) Planner'!$B$51:$Z$51,YearlyCashFlow!B85,'Staggered Goals(All) Planner'!$B$58:$Z$58)</f>
        <v>0</v>
      </c>
      <c r="K85" s="101" t="str">
        <f ca="1">_xlfn.IFNA(HLOOKUP(B85,'Staggered Goals(All) Planner'!$B$51:$S$67, 16, FALSE),"")</f>
        <v/>
      </c>
      <c r="L85" s="205">
        <f t="shared" ca="1" si="14"/>
        <v>0</v>
      </c>
      <c r="M85" s="216">
        <f>IF(Table1[[#This Row],[Yrs to go]]&lt;yr_to_ret, 0, IF(Table1[[#This Row],[Yrs to go]]&gt;time,0,SUM(C85,F85,I85,J85)-Table1[[#This Row],[Yearly Income from other sources]]))</f>
        <v>0</v>
      </c>
      <c r="N85" s="215">
        <f>PV(Retirement_Inputs!$B$16,Table1[[#This Row],[Yrs to go]],,-Table1[[#This Row],[Total Cash Required]])</f>
        <v>0</v>
      </c>
      <c r="W85" s="178">
        <f t="shared" ca="1" si="15"/>
        <v>0</v>
      </c>
      <c r="X85" s="178">
        <f t="shared" ca="1" si="16"/>
        <v>0</v>
      </c>
      <c r="Y85" s="178">
        <f t="shared" ca="1" si="17"/>
        <v>0</v>
      </c>
      <c r="Z85" s="178">
        <f t="shared" ca="1" si="18"/>
        <v>0</v>
      </c>
    </row>
    <row r="86" spans="1:26" x14ac:dyDescent="0.25">
      <c r="A86" s="47">
        <f t="shared" ca="1" si="19"/>
        <v>2099</v>
      </c>
      <c r="B86" s="47">
        <f t="shared" si="20"/>
        <v>80</v>
      </c>
      <c r="C86" s="178" t="str">
        <f>_xlfn.IFNA(HLOOKUP(B86, 'Staggered Goals(All) Planner'!$B$6:$J$13, 8, FALSE),"")</f>
        <v/>
      </c>
      <c r="F86" s="178" t="str">
        <f>_xlfn.IFNA(HLOOKUP(B86, 'Staggered Goals(All) Planner'!$B$28:$J$43, 8, FALSE),"")</f>
        <v/>
      </c>
      <c r="I86" s="205">
        <f>IF(I85&gt;0,I85*(1+Retirement_Inputs!$B$15),IF((B86&lt;Retirement_Inputs!$B$11),0,Retirement_Inputs!$B$12*12))</f>
        <v>283172900.55895239</v>
      </c>
      <c r="J86" s="269">
        <f ca="1">SUMIF('Staggered Goals(All) Planner'!$B$51:$Z$51,YearlyCashFlow!B86,'Staggered Goals(All) Planner'!$B$58:$Z$58)</f>
        <v>0</v>
      </c>
      <c r="K86" s="101" t="str">
        <f ca="1">_xlfn.IFNA(HLOOKUP(B86,'Staggered Goals(All) Planner'!$B$51:$S$67, 16, FALSE),"")</f>
        <v/>
      </c>
      <c r="L86" s="205">
        <f t="shared" ca="1" si="14"/>
        <v>0</v>
      </c>
      <c r="M86" s="216">
        <f>IF(Table1[[#This Row],[Yrs to go]]&lt;yr_to_ret, 0, IF(Table1[[#This Row],[Yrs to go]]&gt;time,0,SUM(C86,F86,I86,J86)-Table1[[#This Row],[Yearly Income from other sources]]))</f>
        <v>0</v>
      </c>
      <c r="N86" s="215">
        <f>PV(Retirement_Inputs!$B$16,Table1[[#This Row],[Yrs to go]],,-Table1[[#This Row],[Total Cash Required]])</f>
        <v>0</v>
      </c>
      <c r="W86" s="178">
        <f t="shared" ca="1" si="15"/>
        <v>0</v>
      </c>
      <c r="X86" s="178">
        <f t="shared" ca="1" si="16"/>
        <v>0</v>
      </c>
      <c r="Y86" s="178">
        <f t="shared" ca="1" si="17"/>
        <v>0</v>
      </c>
      <c r="Z86" s="178">
        <f t="shared" ca="1" si="18"/>
        <v>0</v>
      </c>
    </row>
    <row r="87" spans="1:26" x14ac:dyDescent="0.25">
      <c r="A87" s="47">
        <f t="shared" ca="1" si="19"/>
        <v>2100</v>
      </c>
      <c r="B87" s="47">
        <f t="shared" si="20"/>
        <v>81</v>
      </c>
      <c r="C87" s="178" t="str">
        <f>_xlfn.IFNA(HLOOKUP(B87, 'Staggered Goals(All) Planner'!$B$6:$J$13, 8, FALSE),"")</f>
        <v/>
      </c>
      <c r="F87" s="178" t="str">
        <f>_xlfn.IFNA(HLOOKUP(B87, 'Staggered Goals(All) Planner'!$B$28:$J$43, 8, FALSE),"")</f>
        <v/>
      </c>
      <c r="I87" s="205">
        <f>IF(I86&gt;0,I86*(1+Retirement_Inputs!$B$15),IF((B87&lt;Retirement_Inputs!$B$11),0,Retirement_Inputs!$B$12*12))</f>
        <v>305826732.60366863</v>
      </c>
      <c r="J87" s="269">
        <f ca="1">SUMIF('Staggered Goals(All) Planner'!$B$51:$Z$51,YearlyCashFlow!B87,'Staggered Goals(All) Planner'!$B$58:$Z$58)</f>
        <v>0</v>
      </c>
      <c r="K87" s="101" t="str">
        <f ca="1">_xlfn.IFNA(HLOOKUP(B87,'Staggered Goals(All) Planner'!$B$51:$S$67, 16, FALSE),"")</f>
        <v/>
      </c>
      <c r="L87" s="205">
        <f t="shared" ca="1" si="14"/>
        <v>0</v>
      </c>
      <c r="M87" s="216">
        <f>IF(Table1[[#This Row],[Yrs to go]]&lt;yr_to_ret, 0, IF(Table1[[#This Row],[Yrs to go]]&gt;time,0,SUM(C87,F87,I87,J87)-Table1[[#This Row],[Yearly Income from other sources]]))</f>
        <v>0</v>
      </c>
      <c r="N87" s="215">
        <f>PV(Retirement_Inputs!$B$16,Table1[[#This Row],[Yrs to go]],,-Table1[[#This Row],[Total Cash Required]])</f>
        <v>0</v>
      </c>
      <c r="W87" s="178">
        <f t="shared" ca="1" si="15"/>
        <v>0</v>
      </c>
      <c r="X87" s="178">
        <f t="shared" ca="1" si="16"/>
        <v>0</v>
      </c>
      <c r="Y87" s="178">
        <f t="shared" ca="1" si="17"/>
        <v>0</v>
      </c>
      <c r="Z87" s="178">
        <f t="shared" ca="1" si="18"/>
        <v>0</v>
      </c>
    </row>
    <row r="88" spans="1:26" x14ac:dyDescent="0.25">
      <c r="A88" s="47">
        <f t="shared" ca="1" si="19"/>
        <v>2101</v>
      </c>
      <c r="B88" s="47">
        <f t="shared" si="20"/>
        <v>82</v>
      </c>
      <c r="C88" s="178" t="str">
        <f>_xlfn.IFNA(HLOOKUP(B88, 'Staggered Goals(All) Planner'!$B$6:$J$13, 8, FALSE),"")</f>
        <v/>
      </c>
      <c r="F88" s="178" t="str">
        <f>_xlfn.IFNA(HLOOKUP(B88, 'Staggered Goals(All) Planner'!$B$28:$J$43, 8, FALSE),"")</f>
        <v/>
      </c>
      <c r="I88" s="205">
        <f>IF(I87&gt;0,I87*(1+Retirement_Inputs!$B$15),IF((B88&lt;Retirement_Inputs!$B$11),0,Retirement_Inputs!$B$12*12))</f>
        <v>330292871.21196216</v>
      </c>
      <c r="J88" s="269">
        <f ca="1">SUMIF('Staggered Goals(All) Planner'!$B$51:$Z$51,YearlyCashFlow!B88,'Staggered Goals(All) Planner'!$B$58:$Z$58)</f>
        <v>0</v>
      </c>
      <c r="K88" s="101" t="str">
        <f ca="1">_xlfn.IFNA(HLOOKUP(B88,'Staggered Goals(All) Planner'!$B$51:$S$67, 16, FALSE),"")</f>
        <v/>
      </c>
      <c r="L88" s="205">
        <f t="shared" ca="1" si="14"/>
        <v>0</v>
      </c>
      <c r="M88" s="216">
        <f>IF(Table1[[#This Row],[Yrs to go]]&lt;yr_to_ret, 0, IF(Table1[[#This Row],[Yrs to go]]&gt;time,0,SUM(C88,F88,I88,J88)-Table1[[#This Row],[Yearly Income from other sources]]))</f>
        <v>0</v>
      </c>
      <c r="N88" s="215">
        <f>PV(Retirement_Inputs!$B$16,Table1[[#This Row],[Yrs to go]],,-Table1[[#This Row],[Total Cash Required]])</f>
        <v>0</v>
      </c>
      <c r="W88" s="178">
        <f t="shared" ca="1" si="15"/>
        <v>0</v>
      </c>
      <c r="X88" s="178">
        <f t="shared" ca="1" si="16"/>
        <v>0</v>
      </c>
      <c r="Y88" s="178">
        <f t="shared" ca="1" si="17"/>
        <v>0</v>
      </c>
      <c r="Z88" s="178">
        <f t="shared" ca="1" si="18"/>
        <v>0</v>
      </c>
    </row>
    <row r="89" spans="1:26" x14ac:dyDescent="0.25">
      <c r="A89" s="47">
        <f t="shared" ca="1" si="19"/>
        <v>2102</v>
      </c>
      <c r="B89" s="47">
        <f t="shared" si="20"/>
        <v>83</v>
      </c>
      <c r="C89" s="178" t="str">
        <f>_xlfn.IFNA(HLOOKUP(B89, 'Staggered Goals(All) Planner'!$B$6:$J$13, 8, FALSE),"")</f>
        <v/>
      </c>
      <c r="F89" s="178" t="str">
        <f>_xlfn.IFNA(HLOOKUP(B89, 'Staggered Goals(All) Planner'!$B$28:$J$43, 8, FALSE),"")</f>
        <v/>
      </c>
      <c r="I89" s="205">
        <f>IF(I88&gt;0,I88*(1+Retirement_Inputs!$B$15),IF((B89&lt;Retirement_Inputs!$B$11),0,Retirement_Inputs!$B$12*12))</f>
        <v>356716300.90891916</v>
      </c>
      <c r="J89" s="269">
        <f ca="1">SUMIF('Staggered Goals(All) Planner'!$B$51:$Z$51,YearlyCashFlow!B89,'Staggered Goals(All) Planner'!$B$58:$Z$58)</f>
        <v>0</v>
      </c>
      <c r="K89" s="101" t="str">
        <f ca="1">_xlfn.IFNA(HLOOKUP(B89,'Staggered Goals(All) Planner'!$B$51:$S$67, 16, FALSE),"")</f>
        <v/>
      </c>
      <c r="L89" s="205">
        <f t="shared" ca="1" si="14"/>
        <v>0</v>
      </c>
      <c r="M89" s="216">
        <f>IF(Table1[[#This Row],[Yrs to go]]&lt;yr_to_ret, 0, IF(Table1[[#This Row],[Yrs to go]]&gt;time,0,SUM(C89,F89,I89,J89)-Table1[[#This Row],[Yearly Income from other sources]]))</f>
        <v>0</v>
      </c>
      <c r="N89" s="215">
        <f>PV(Retirement_Inputs!$B$16,Table1[[#This Row],[Yrs to go]],,-Table1[[#This Row],[Total Cash Required]])</f>
        <v>0</v>
      </c>
      <c r="W89" s="178">
        <f t="shared" ca="1" si="15"/>
        <v>0</v>
      </c>
      <c r="X89" s="178">
        <f t="shared" ca="1" si="16"/>
        <v>0</v>
      </c>
      <c r="Y89" s="178">
        <f t="shared" ca="1" si="17"/>
        <v>0</v>
      </c>
      <c r="Z89" s="178">
        <f t="shared" ca="1" si="18"/>
        <v>0</v>
      </c>
    </row>
    <row r="90" spans="1:26" x14ac:dyDescent="0.25">
      <c r="A90" s="47">
        <f t="shared" ca="1" si="19"/>
        <v>2103</v>
      </c>
      <c r="B90" s="47">
        <f t="shared" si="20"/>
        <v>84</v>
      </c>
      <c r="C90" s="178" t="str">
        <f>_xlfn.IFNA(HLOOKUP(B90, 'Staggered Goals(All) Planner'!$B$6:$J$13, 8, FALSE),"")</f>
        <v/>
      </c>
      <c r="F90" s="178" t="str">
        <f>_xlfn.IFNA(HLOOKUP(B90, 'Staggered Goals(All) Planner'!$B$28:$J$43, 8, FALSE),"")</f>
        <v/>
      </c>
      <c r="I90" s="205">
        <f>IF(I89&gt;0,I89*(1+Retirement_Inputs!$B$15),IF((B90&lt;Retirement_Inputs!$B$11),0,Retirement_Inputs!$B$12*12))</f>
        <v>385253604.98163271</v>
      </c>
      <c r="J90" s="269">
        <f ca="1">SUMIF('Staggered Goals(All) Planner'!$B$51:$Z$51,YearlyCashFlow!B90,'Staggered Goals(All) Planner'!$B$58:$Z$58)</f>
        <v>0</v>
      </c>
      <c r="K90" s="101" t="str">
        <f ca="1">_xlfn.IFNA(HLOOKUP(B90,'Staggered Goals(All) Planner'!$B$51:$S$67, 16, FALSE),"")</f>
        <v/>
      </c>
      <c r="L90" s="205">
        <f t="shared" ca="1" si="14"/>
        <v>0</v>
      </c>
      <c r="M90" s="216">
        <f>IF(Table1[[#This Row],[Yrs to go]]&lt;yr_to_ret, 0, IF(Table1[[#This Row],[Yrs to go]]&gt;time,0,SUM(C90,F90,I90,J90)-Table1[[#This Row],[Yearly Income from other sources]]))</f>
        <v>0</v>
      </c>
      <c r="N90" s="215">
        <f>PV(Retirement_Inputs!$B$16,Table1[[#This Row],[Yrs to go]],,-Table1[[#This Row],[Total Cash Required]])</f>
        <v>0</v>
      </c>
      <c r="W90" s="178">
        <f t="shared" ca="1" si="15"/>
        <v>0</v>
      </c>
      <c r="X90" s="178">
        <f t="shared" ca="1" si="16"/>
        <v>0</v>
      </c>
      <c r="Y90" s="178">
        <f t="shared" ca="1" si="17"/>
        <v>0</v>
      </c>
      <c r="Z90" s="178">
        <f t="shared" ca="1" si="18"/>
        <v>0</v>
      </c>
    </row>
    <row r="91" spans="1:26" x14ac:dyDescent="0.25">
      <c r="X91" s="178">
        <f t="shared" ca="1" si="16"/>
        <v>0</v>
      </c>
      <c r="Y91" s="178">
        <f t="shared" si="17"/>
        <v>0</v>
      </c>
    </row>
    <row r="92" spans="1:26" x14ac:dyDescent="0.25">
      <c r="L92" t="s">
        <v>194</v>
      </c>
      <c r="M92">
        <v>12</v>
      </c>
      <c r="X92" s="178">
        <f t="shared" ca="1" si="16"/>
        <v>0</v>
      </c>
      <c r="Y92" s="178">
        <f t="shared" si="17"/>
        <v>0</v>
      </c>
    </row>
    <row r="93" spans="1:26" x14ac:dyDescent="0.25">
      <c r="X93" s="178">
        <f t="shared" ca="1" si="16"/>
        <v>0</v>
      </c>
      <c r="Y93" s="178">
        <f t="shared" si="17"/>
        <v>0</v>
      </c>
    </row>
    <row r="94" spans="1:26" x14ac:dyDescent="0.25">
      <c r="X94" s="178">
        <f t="shared" ca="1" si="16"/>
        <v>0</v>
      </c>
      <c r="Y94" s="178">
        <f t="shared" si="17"/>
        <v>0</v>
      </c>
    </row>
    <row r="95" spans="1:26" x14ac:dyDescent="0.25">
      <c r="X95" s="178">
        <f t="shared" ca="1" si="16"/>
        <v>0</v>
      </c>
      <c r="Y95" s="178">
        <f t="shared" si="17"/>
        <v>0</v>
      </c>
    </row>
    <row r="96" spans="1:26" x14ac:dyDescent="0.25">
      <c r="X96" s="178">
        <f t="shared" ca="1" si="16"/>
        <v>0</v>
      </c>
      <c r="Y96" s="178">
        <f t="shared" si="17"/>
        <v>0</v>
      </c>
    </row>
    <row r="97" spans="24:25" x14ac:dyDescent="0.25">
      <c r="X97" s="178">
        <f t="shared" ca="1" si="16"/>
        <v>0</v>
      </c>
      <c r="Y97" s="178">
        <f t="shared" si="17"/>
        <v>0</v>
      </c>
    </row>
    <row r="98" spans="24:25" x14ac:dyDescent="0.25">
      <c r="X98" s="178">
        <f t="shared" ca="1" si="16"/>
        <v>0</v>
      </c>
      <c r="Y98" s="178">
        <f t="shared" si="17"/>
        <v>0</v>
      </c>
    </row>
    <row r="99" spans="24:25" x14ac:dyDescent="0.25">
      <c r="X99" s="178">
        <f t="shared" ca="1" si="16"/>
        <v>0</v>
      </c>
      <c r="Y99" s="178">
        <f t="shared" si="17"/>
        <v>0</v>
      </c>
    </row>
    <row r="100" spans="24:25" x14ac:dyDescent="0.25">
      <c r="X100" s="178">
        <f t="shared" ca="1" si="16"/>
        <v>0</v>
      </c>
      <c r="Y100" s="178">
        <f t="shared" si="17"/>
        <v>0</v>
      </c>
    </row>
    <row r="101" spans="24:25" x14ac:dyDescent="0.25">
      <c r="X101" s="178">
        <f t="shared" ca="1" si="16"/>
        <v>0</v>
      </c>
      <c r="Y101" s="178">
        <f t="shared" si="17"/>
        <v>0</v>
      </c>
    </row>
    <row r="102" spans="24:25" x14ac:dyDescent="0.25">
      <c r="X102" s="178">
        <f t="shared" ca="1" si="16"/>
        <v>0</v>
      </c>
      <c r="Y102" s="178">
        <f t="shared" si="17"/>
        <v>0</v>
      </c>
    </row>
    <row r="103" spans="24:25" x14ac:dyDescent="0.25">
      <c r="X103" s="178">
        <f t="shared" ref="X103:X108" ca="1" si="21">IF(A103&lt;sr_st2,0,IF(A103&lt;sr_end2, ((1+sr_rate2)^(A103-sr_st2))*source2*12,0))</f>
        <v>0</v>
      </c>
      <c r="Y103" s="178">
        <f t="shared" ref="Y103:Y109" si="22">IF(A103&lt;sr_st3,0,IF(A103&lt;sr_end3, ((1+sr_rate3)^(A103-sr_st3))*source3*12,0))</f>
        <v>0</v>
      </c>
    </row>
    <row r="104" spans="24:25" x14ac:dyDescent="0.25">
      <c r="X104" s="178">
        <f t="shared" ca="1" si="21"/>
        <v>0</v>
      </c>
      <c r="Y104" s="178">
        <f t="shared" si="22"/>
        <v>0</v>
      </c>
    </row>
    <row r="105" spans="24:25" x14ac:dyDescent="0.25">
      <c r="X105" s="178">
        <f t="shared" ca="1" si="21"/>
        <v>0</v>
      </c>
      <c r="Y105" s="178">
        <f t="shared" si="22"/>
        <v>0</v>
      </c>
    </row>
    <row r="106" spans="24:25" x14ac:dyDescent="0.25">
      <c r="X106" s="178">
        <f t="shared" ca="1" si="21"/>
        <v>0</v>
      </c>
      <c r="Y106" s="178">
        <f t="shared" si="22"/>
        <v>0</v>
      </c>
    </row>
    <row r="107" spans="24:25" x14ac:dyDescent="0.25">
      <c r="X107" s="178">
        <f t="shared" ca="1" si="21"/>
        <v>0</v>
      </c>
      <c r="Y107" s="178">
        <f t="shared" si="22"/>
        <v>0</v>
      </c>
    </row>
    <row r="108" spans="24:25" x14ac:dyDescent="0.25">
      <c r="X108" s="178">
        <f t="shared" ca="1" si="21"/>
        <v>0</v>
      </c>
      <c r="Y108" s="178">
        <f t="shared" si="22"/>
        <v>0</v>
      </c>
    </row>
    <row r="109" spans="24:25" x14ac:dyDescent="0.25">
      <c r="Y109" s="178">
        <f t="shared" si="22"/>
        <v>0</v>
      </c>
    </row>
  </sheetData>
  <hyperlinks>
    <hyperlink ref="N2" r:id="rId1" xr:uid="{00000000-0004-0000-0300-000000000000}"/>
  </hyperlinks>
  <pageMargins left="0.7" right="0.7" top="0.75" bottom="0.75" header="0.3" footer="0.3"/>
  <pageSetup paperSize="9" scale="63" fitToHeight="0" orientation="landscape" horizontalDpi="4294967293" verticalDpi="4294967293"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49</vt:i4>
      </vt:variant>
    </vt:vector>
  </HeadingPairs>
  <TitlesOfParts>
    <vt:vector size="55" baseType="lpstr">
      <vt:lpstr>Instructions</vt:lpstr>
      <vt:lpstr>Retirement_Inputs</vt:lpstr>
      <vt:lpstr>Staggered Goals(All) Planner</vt:lpstr>
      <vt:lpstr>Subjective Stress Reducer</vt:lpstr>
      <vt:lpstr>0+10 Buckets income ladder</vt:lpstr>
      <vt:lpstr>YearlyCashFlow</vt:lpstr>
      <vt:lpstr>b1r</vt:lpstr>
      <vt:lpstr>b2r</vt:lpstr>
      <vt:lpstr>b3r</vt:lpstr>
      <vt:lpstr>b4r</vt:lpstr>
      <vt:lpstr>b5r</vt:lpstr>
      <vt:lpstr>b6r</vt:lpstr>
      <vt:lpstr>gdg</vt:lpstr>
      <vt:lpstr>'0+10 Buckets income ladder'!int</vt:lpstr>
      <vt:lpstr>int10b</vt:lpstr>
      <vt:lpstr>int11b</vt:lpstr>
      <vt:lpstr>int2b</vt:lpstr>
      <vt:lpstr>int3b</vt:lpstr>
      <vt:lpstr>int4b</vt:lpstr>
      <vt:lpstr>int5b</vt:lpstr>
      <vt:lpstr>int6b</vt:lpstr>
      <vt:lpstr>int7b</vt:lpstr>
      <vt:lpstr>int8b</vt:lpstr>
      <vt:lpstr>int9b</vt:lpstr>
      <vt:lpstr>'0+10 Buckets income ladder'!k</vt:lpstr>
      <vt:lpstr>k10b</vt:lpstr>
      <vt:lpstr>k11b</vt:lpstr>
      <vt:lpstr>k2b</vt:lpstr>
      <vt:lpstr>k3b</vt:lpstr>
      <vt:lpstr>k4b</vt:lpstr>
      <vt:lpstr>k5b</vt:lpstr>
      <vt:lpstr>k6b</vt:lpstr>
      <vt:lpstr>k7b</vt:lpstr>
      <vt:lpstr>k8b</vt:lpstr>
      <vt:lpstr>k9b</vt:lpstr>
      <vt:lpstr>offset</vt:lpstr>
      <vt:lpstr>'0+10 Buckets income ladder'!rinf</vt:lpstr>
      <vt:lpstr>source1</vt:lpstr>
      <vt:lpstr>source2</vt:lpstr>
      <vt:lpstr>source3</vt:lpstr>
      <vt:lpstr>source4</vt:lpstr>
      <vt:lpstr>sr_end1</vt:lpstr>
      <vt:lpstr>sr_end2</vt:lpstr>
      <vt:lpstr>sr_end3</vt:lpstr>
      <vt:lpstr>sr_end4</vt:lpstr>
      <vt:lpstr>sr_rate1</vt:lpstr>
      <vt:lpstr>sr_rate2</vt:lpstr>
      <vt:lpstr>sr_rate3</vt:lpstr>
      <vt:lpstr>sr_rate4</vt:lpstr>
      <vt:lpstr>sr_st1</vt:lpstr>
      <vt:lpstr>sr_st2</vt:lpstr>
      <vt:lpstr>sr_st3</vt:lpstr>
      <vt:lpstr>sr_st4</vt:lpstr>
      <vt:lpstr>time</vt:lpstr>
      <vt:lpstr>yr_to_ret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Bucket Strategy Calculater for all goals - suitable for Early Retriment calculations</dc:title>
  <dc:creator>rama;S R Srinivasan (srs)</dc:creator>
  <cp:keywords>Bucket Strategy;Consolidated Planner;Early Retirement;All Goals</cp:keywords>
  <cp:lastModifiedBy>srinivesh</cp:lastModifiedBy>
  <cp:lastPrinted>2016-09-17T05:24:37Z</cp:lastPrinted>
  <dcterms:created xsi:type="dcterms:W3CDTF">2013-03-18T12:59:12Z</dcterms:created>
  <dcterms:modified xsi:type="dcterms:W3CDTF">2019-03-15T07:46:05Z</dcterms:modified>
</cp:coreProperties>
</file>